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00" firstSheet="2" activeTab="5"/>
  </bookViews>
  <sheets>
    <sheet name="Planilha Resumo" sheetId="11" r:id="rId1"/>
    <sheet name="Planilha Resumo Valor" sheetId="8" state="hidden" r:id="rId2"/>
    <sheet name="M²" sheetId="10" r:id="rId3"/>
    <sheet name="Custo por trabalhador Servente" sheetId="2" r:id="rId4"/>
    <sheet name="Material Proposta" sheetId="13" r:id="rId5"/>
    <sheet name="Planilha de Custo Servente" sheetId="3" r:id="rId6"/>
    <sheet name="Preço m²" sheetId="12" r:id="rId7"/>
    <sheet name="Quantitativos e Produtividade" sheetId="9"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Scheyla Cristina de Souza Belmiro do Amaral</author>
  </authors>
  <commentList>
    <comment ref="B16" authorId="0">
      <text>
        <r>
          <rPr>
            <b/>
            <sz val="9"/>
            <rFont val="Segoe UI"/>
            <charset val="134"/>
          </rPr>
          <t xml:space="preserve">Seges: </t>
        </r>
        <r>
          <rPr>
            <sz val="9"/>
            <rFont val="Segoe UI"/>
            <charset val="134"/>
          </rPr>
          <t xml:space="preserve">Informar salário base conforme Convenção Coletiva de Trabalho vigente para a categoria e no município de prestação do serviço.
</t>
        </r>
      </text>
    </comment>
    <comment ref="C24" authorId="0">
      <text>
        <r>
          <rPr>
            <b/>
            <sz val="9"/>
            <rFont val="Segoe UI"/>
            <charset val="1"/>
          </rPr>
          <t xml:space="preserve">Seges: </t>
        </r>
        <r>
          <rPr>
            <sz val="9"/>
            <rFont val="Segoe UI"/>
            <charset val="134"/>
          </rPr>
          <t>Percentual conforme definido em CCT, se houver gratificação de função.</t>
        </r>
        <r>
          <rPr>
            <sz val="9"/>
            <rFont val="Segoe UI"/>
            <charset val="1"/>
          </rPr>
          <t xml:space="preserve">
</t>
        </r>
      </text>
    </comment>
    <comment ref="C32" authorId="0">
      <text>
        <r>
          <rPr>
            <b/>
            <sz val="9"/>
            <rFont val="Segoe UI"/>
            <charset val="134"/>
          </rPr>
          <t xml:space="preserve">Seges: </t>
        </r>
        <r>
          <rPr>
            <sz val="9"/>
            <rFont val="Segoe UI"/>
            <charset val="134"/>
          </rPr>
          <t>Percentual conforme definido em CCT, quando houver adicional de periculosidade ou insabubridade</t>
        </r>
      </text>
    </comment>
    <comment ref="C45" authorId="0">
      <text>
        <r>
          <rPr>
            <b/>
            <sz val="9"/>
            <rFont val="Segoe UI"/>
            <charset val="134"/>
          </rPr>
          <t xml:space="preserve">Seges: </t>
        </r>
        <r>
          <rPr>
            <sz val="9"/>
            <rFont val="Segoe UI"/>
            <charset val="134"/>
          </rPr>
          <t xml:space="preserve">Considera hora noturna de 22h às 5h do dia segunte, portanto 7 horas noturnas de uma jornada de 12h. </t>
        </r>
      </text>
    </comment>
    <comment ref="C49" authorId="0">
      <text>
        <r>
          <rPr>
            <b/>
            <sz val="9"/>
            <rFont val="Segoe UI"/>
            <charset val="134"/>
          </rPr>
          <t>Seges:</t>
        </r>
        <r>
          <rPr>
            <sz val="9"/>
            <rFont val="Segoe UI"/>
            <charset val="134"/>
          </rPr>
          <t xml:space="preserve">
A título de pagamento adicional computa-se o pagamento de 7min e 30 s a cada hora noturna, por 7 horas, totalizando 52min e 30 s, que significa 1 hora da jornada de 12h.
</t>
        </r>
      </text>
    </comment>
    <comment ref="D49" authorId="0">
      <text>
        <r>
          <rPr>
            <b/>
            <sz val="9"/>
            <rFont val="Segoe UI"/>
            <charset val="134"/>
          </rPr>
          <t>Seges:</t>
        </r>
        <r>
          <rPr>
            <sz val="9"/>
            <rFont val="Segoe UI"/>
            <charset val="134"/>
          </rPr>
          <t xml:space="preserve"> Por tratar-se de hora considerada a mais, calcula-se pagamento de 100% da hora, acrescida do respectivo adicional noturno.</t>
        </r>
      </text>
    </comment>
    <comment ref="A52" authorId="0">
      <text>
        <r>
          <rPr>
            <b/>
            <sz val="9"/>
            <rFont val="Segoe UI"/>
            <charset val="134"/>
          </rPr>
          <t xml:space="preserve">Seges: </t>
        </r>
        <r>
          <rPr>
            <sz val="9"/>
            <rFont val="Segoe UI"/>
            <charset val="134"/>
          </rPr>
          <t>Tabela resumo da totalização do Adicional noturno.
Automatizada, desde que não haja alterações de fórmulas ou estrutura da planilha.</t>
        </r>
      </text>
    </comment>
    <comment ref="A72" authorId="0">
      <text>
        <r>
          <rPr>
            <b/>
            <sz val="9"/>
            <rFont val="Segoe UI"/>
            <charset val="134"/>
          </rPr>
          <t xml:space="preserve">Seges: </t>
        </r>
        <r>
          <rPr>
            <sz val="9"/>
            <rFont val="Segoe UI"/>
            <charset val="134"/>
          </rPr>
          <t xml:space="preserve">Automatizada, desde que não haja alterações de fórmulas ou estrutura da planilha.
</t>
        </r>
      </text>
    </comment>
    <comment ref="C86" authorId="0">
      <text>
        <r>
          <rPr>
            <b/>
            <sz val="9"/>
            <rFont val="Segoe UI"/>
            <charset val="134"/>
          </rPr>
          <t xml:space="preserve">Seges: </t>
        </r>
        <r>
          <rPr>
            <sz val="9"/>
            <rFont val="Segoe UI"/>
            <charset val="134"/>
          </rPr>
          <t>Por tratar-se de planilha mensal será contabilizado 1/12 avos do custo.</t>
        </r>
      </text>
    </comment>
    <comment ref="A94" authorId="0">
      <text>
        <r>
          <rPr>
            <b/>
            <sz val="9"/>
            <rFont val="Segoe UI"/>
            <charset val="134"/>
          </rPr>
          <t xml:space="preserve">Seges: </t>
        </r>
        <r>
          <rPr>
            <sz val="9"/>
            <rFont val="Segoe UI"/>
            <charset val="134"/>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5" authorId="0">
      <text>
        <r>
          <rPr>
            <b/>
            <sz val="9"/>
            <rFont val="Segoe UI"/>
            <charset val="134"/>
          </rPr>
          <t>Seges:</t>
        </r>
        <r>
          <rPr>
            <sz val="9"/>
            <rFont val="Segoe UI"/>
            <charset val="134"/>
          </rPr>
          <t xml:space="preserve"> Corresponde ao previsto na Constituição. Adicional de 1/3 a mais do salário normal.
</t>
        </r>
      </text>
    </comment>
    <comment ref="A112" authorId="0">
      <text>
        <r>
          <rPr>
            <b/>
            <sz val="9"/>
            <rFont val="Segoe UI"/>
            <charset val="134"/>
          </rPr>
          <t xml:space="preserve">Seges: </t>
        </r>
        <r>
          <rPr>
            <sz val="9"/>
            <rFont val="Segoe UI"/>
            <charset val="134"/>
          </rPr>
          <t xml:space="preserve">apenas totaliza a previsão mensal de custos com 13° Salário, Férias e Adicional de Férias.
</t>
        </r>
      </text>
    </comment>
    <comment ref="B128" authorId="0">
      <text>
        <r>
          <rPr>
            <b/>
            <sz val="9"/>
            <rFont val="Segoe UI"/>
            <charset val="134"/>
          </rPr>
          <t xml:space="preserve">Seges: </t>
        </r>
        <r>
          <rPr>
            <sz val="9"/>
            <rFont val="Segoe UI"/>
            <charset val="134"/>
          </rPr>
          <t xml:space="preserve">Informar o percentual adequado à categoria profissional a ser contratada para a prestação do serviço.
</t>
        </r>
      </text>
    </comment>
    <comment ref="C138" authorId="0">
      <text>
        <r>
          <rPr>
            <b/>
            <sz val="9"/>
            <rFont val="Segoe UI"/>
            <charset val="134"/>
          </rPr>
          <t xml:space="preserve">Seges: </t>
        </r>
        <r>
          <rPr>
            <sz val="9"/>
            <rFont val="Segoe UI"/>
            <charset val="134"/>
          </rPr>
          <t xml:space="preserve">Corresponde ao somatório dos encargos para financiamento da seguridade social.
O percentual será alterado quando do preenchimento da aliquota do SAT/GIIL-RAT
</t>
        </r>
      </text>
    </comment>
    <comment ref="C147" authorId="0">
      <text>
        <r>
          <rPr>
            <b/>
            <sz val="9"/>
            <rFont val="Segoe UI"/>
            <charset val="134"/>
          </rPr>
          <t xml:space="preserve">Seges: </t>
        </r>
        <r>
          <rPr>
            <sz val="9"/>
            <rFont val="Segoe UI"/>
            <charset val="134"/>
          </rPr>
          <t xml:space="preserve">Alíquota mensal de depóstio à título de FGTS, conforme Lei n° 8.036, de 1990.
</t>
        </r>
      </text>
    </comment>
    <comment ref="A154" authorId="0">
      <text>
        <r>
          <rPr>
            <b/>
            <sz val="9"/>
            <rFont val="Segoe UI"/>
            <charset val="134"/>
          </rPr>
          <t xml:space="preserve">Seges: </t>
        </r>
        <r>
          <rPr>
            <sz val="9"/>
            <rFont val="Segoe UI"/>
            <charset val="134"/>
          </rPr>
          <t xml:space="preserve">Totalização dos Encargos. Automatizada, desde que não haja alteração nas fórmulas e estrutura da planilha.
</t>
        </r>
      </text>
    </comment>
    <comment ref="B169" authorId="0">
      <text>
        <r>
          <rPr>
            <b/>
            <sz val="9"/>
            <rFont val="Segoe UI"/>
            <charset val="134"/>
          </rPr>
          <t xml:space="preserve">Seges: </t>
        </r>
        <r>
          <rPr>
            <sz val="9"/>
            <rFont val="Segoe UI"/>
            <charset val="134"/>
          </rPr>
          <t xml:space="preserve">Valor da tarifa de transporte público praticada no município de prestação do serviço.
</t>
        </r>
      </text>
    </comment>
    <comment ref="D170" authorId="0">
      <text>
        <r>
          <rPr>
            <b/>
            <sz val="9"/>
            <rFont val="Segoe UI"/>
            <charset val="134"/>
          </rPr>
          <t xml:space="preserve">Seges: </t>
        </r>
        <r>
          <rPr>
            <sz val="9"/>
            <rFont val="Segoe UI"/>
            <charset val="134"/>
          </rPr>
          <t xml:space="preserve">apenas sugerido, depende de disposições constantes na CCT.
</t>
        </r>
      </text>
    </comment>
    <comment ref="C178" authorId="0">
      <text>
        <r>
          <rPr>
            <b/>
            <sz val="9"/>
            <rFont val="Segoe UI"/>
            <charset val="134"/>
          </rPr>
          <t xml:space="preserve">Seges: exemplificativo... </t>
        </r>
        <r>
          <rPr>
            <sz val="9"/>
            <rFont val="Segoe UI"/>
            <charset val="134"/>
          </rPr>
          <t xml:space="preserve">O desconto poderá ser proporcional, conforme disposto no art. 10 do Decreto n° 95.247, de 1987.
O órgão contatante deverá apreciar o comportamento das empresas prestadoras de serviço e ajustar, conforme necessidade.
</t>
        </r>
      </text>
    </comment>
    <comment ref="B198" authorId="0">
      <text>
        <r>
          <rPr>
            <b/>
            <sz val="9"/>
            <rFont val="Segoe UI"/>
            <charset val="134"/>
          </rPr>
          <t xml:space="preserve">Seges: </t>
        </r>
        <r>
          <rPr>
            <sz val="9"/>
            <rFont val="Segoe UI"/>
            <charset val="134"/>
          </rPr>
          <t xml:space="preserve">Conforme estabelecido em Convenção Coletiva de Trabalho
</t>
        </r>
      </text>
    </comment>
    <comment ref="C199" authorId="0">
      <text>
        <r>
          <rPr>
            <b/>
            <sz val="9"/>
            <rFont val="Segoe UI"/>
            <charset val="134"/>
          </rPr>
          <t xml:space="preserve">Seges: </t>
        </r>
        <r>
          <rPr>
            <sz val="9"/>
            <rFont val="Segoe UI"/>
            <charset val="134"/>
          </rPr>
          <t xml:space="preserve">apenas sugerido, depende de disposições constantes na CCT.
</t>
        </r>
      </text>
    </comment>
    <comment ref="C207" authorId="0">
      <text>
        <r>
          <rPr>
            <b/>
            <sz val="9"/>
            <rFont val="Segoe UI"/>
            <charset val="134"/>
          </rPr>
          <t xml:space="preserve">Seges: </t>
        </r>
        <r>
          <rPr>
            <sz val="9"/>
            <rFont val="Segoe UI"/>
            <charset val="134"/>
          </rPr>
          <t xml:space="preserve">Observar desconto informado em Convenção Coletiva.
</t>
        </r>
      </text>
    </comment>
    <comment ref="B208" authorId="0">
      <text>
        <r>
          <rPr>
            <b/>
            <sz val="9"/>
            <rFont val="Segoe UI"/>
            <charset val="134"/>
          </rPr>
          <t xml:space="preserve">Seges: </t>
        </r>
        <r>
          <rPr>
            <sz val="9"/>
            <rFont val="Segoe UI"/>
            <charset val="134"/>
          </rPr>
          <t>Observar Convenção Coletiva sobre base de cálculo, habitualmente o desconto é sobre o valor do benefício concedido.</t>
        </r>
      </text>
    </comment>
    <comment ref="A262" authorId="0">
      <text>
        <r>
          <rPr>
            <b/>
            <sz val="9"/>
            <rFont val="Segoe UI"/>
            <charset val="134"/>
          </rPr>
          <t xml:space="preserve">Seges: </t>
        </r>
        <r>
          <rPr>
            <sz val="9"/>
            <rFont val="Segoe UI"/>
            <charset val="134"/>
          </rPr>
          <t>Apenas totaliza os custos efetivos com benefícios mensais do trabalhador.
Automatizada, desde que não haja alteração de fórmulas ou estrutura da planilha</t>
        </r>
      </text>
    </comment>
    <comment ref="A273" authorId="0">
      <text>
        <r>
          <rPr>
            <b/>
            <sz val="9"/>
            <rFont val="Segoe UI"/>
            <charset val="134"/>
          </rPr>
          <t xml:space="preserve">Seges: </t>
        </r>
        <r>
          <rPr>
            <sz val="9"/>
            <rFont val="Segoe UI"/>
            <charset val="134"/>
          </rPr>
          <t xml:space="preserve">Totaliza o módulo 2, com somatória de 13° salário, férias, adicional, encargos e benefícios.
</t>
        </r>
      </text>
    </comment>
    <comment ref="B288" authorId="0">
      <text>
        <r>
          <rPr>
            <b/>
            <sz val="9"/>
            <rFont val="Segoe UI"/>
            <charset val="134"/>
          </rPr>
          <t xml:space="preserve">Seges: exemplificativo
</t>
        </r>
        <r>
          <rPr>
            <sz val="9"/>
            <rFont val="Segoe UI"/>
            <charset val="134"/>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77" authorId="0">
      <text>
        <r>
          <rPr>
            <b/>
            <sz val="9"/>
            <rFont val="Segoe UI"/>
            <charset val="134"/>
          </rPr>
          <t>Seges:</t>
        </r>
        <r>
          <rPr>
            <sz val="9"/>
            <rFont val="Segoe UI"/>
            <charset val="134"/>
          </rPr>
          <t xml:space="preserve">
Totaliza o custo estimado a ser provisionado mensalmente. Está automatizada, desde que não haja alteração de fórmulas e/ou estrutura da planilha.</t>
        </r>
      </text>
    </comment>
    <comment ref="B391" authorId="0">
      <text>
        <r>
          <rPr>
            <b/>
            <sz val="9"/>
            <rFont val="Segoe UI"/>
            <charset val="134"/>
          </rPr>
          <t xml:space="preserve">Seges: </t>
        </r>
        <r>
          <rPr>
            <sz val="9"/>
            <rFont val="Segoe UI"/>
            <charset val="134"/>
          </rPr>
          <t xml:space="preserve">Probabilidade de ocorrência de ausência do profissional residente quando será necessária a presença de um repositor. O órgão deverá observar o histórico das contratações anteriores para estimar tais probabilidades.
</t>
        </r>
      </text>
    </comment>
    <comment ref="C391" authorId="0">
      <text>
        <r>
          <rPr>
            <b/>
            <sz val="9"/>
            <rFont val="Segoe UI"/>
            <charset val="134"/>
          </rPr>
          <t xml:space="preserve">Segesl: </t>
        </r>
        <r>
          <rPr>
            <sz val="9"/>
            <rFont val="Segoe UI"/>
            <charset val="134"/>
          </rPr>
          <t xml:space="preserve">Duração computada em dias, conforme previsão em legislação.
</t>
        </r>
      </text>
    </comment>
    <comment ref="A406" authorId="0">
      <text>
        <r>
          <rPr>
            <b/>
            <sz val="9"/>
            <rFont val="Segoe UI"/>
            <charset val="134"/>
          </rPr>
          <t xml:space="preserve">Seges: </t>
        </r>
        <r>
          <rPr>
            <sz val="9"/>
            <rFont val="Segoe UI"/>
            <charset val="134"/>
          </rPr>
          <t>Esta tabela apresenta o resumo dos dias prováveis de ausência, quando seria necessária a presença de um profissional repositor.
Seu cálculo está automatizado mediante preenchimento da tabela anterior.</t>
        </r>
      </text>
    </comment>
    <comment ref="A409" authorId="0">
      <text>
        <r>
          <rPr>
            <b/>
            <sz val="9"/>
            <rFont val="Segoe UI"/>
            <charset val="134"/>
          </rPr>
          <t xml:space="preserve">Seges: </t>
        </r>
        <r>
          <rPr>
            <sz val="9"/>
            <rFont val="Segoe UI"/>
            <charset val="134"/>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35" authorId="0">
      <text>
        <r>
          <rPr>
            <b/>
            <sz val="9"/>
            <rFont val="Segoe UI"/>
            <charset val="134"/>
          </rPr>
          <t xml:space="preserve">Seges: </t>
        </r>
        <r>
          <rPr>
            <sz val="9"/>
            <rFont val="Segoe UI"/>
            <charset val="134"/>
          </rPr>
          <t xml:space="preserve">Tabela automatizada para cálculo do custo mensal com reposição do profissional ausente, mediante preenchimento das anteriores. Desde que não haja alteração de fórmulas e/ou estrutura da planilha.
</t>
        </r>
      </text>
    </comment>
    <comment ref="A461" authorId="0">
      <text>
        <r>
          <rPr>
            <b/>
            <sz val="9"/>
            <rFont val="Segoe UI"/>
            <charset val="134"/>
          </rPr>
          <t>Seges:</t>
        </r>
        <r>
          <rPr>
            <sz val="9"/>
            <rFont val="Segoe UI"/>
            <charset val="134"/>
          </rPr>
          <t xml:space="preserve"> Esta tabela totaliza os custos com reposição de profissional ausente e está automatizada mediante preenchimento das anteriores. Desde que não haja alteração de fórmulas e/ou estrutura da planilha.</t>
        </r>
      </text>
    </comment>
    <comment ref="D473" authorId="0">
      <text>
        <r>
          <rPr>
            <sz val="11"/>
            <color rgb="FF000000"/>
            <rFont val="Calibri"/>
            <scheme val="minor"/>
            <charset val="0"/>
          </rPr>
          <t xml:space="preserve">Todos os itens relacionados aos insumos deverão ser objetos de cotação para as empresas
</t>
        </r>
      </text>
    </comment>
    <comment ref="D483" authorId="0">
      <text>
        <r>
          <rPr>
            <sz val="11"/>
            <color rgb="FF000000"/>
            <rFont val="Calibri"/>
            <scheme val="minor"/>
            <charset val="0"/>
          </rPr>
          <t xml:space="preserve">Todos os itens relacionados aos insumos deverão ser objetos de cotação para as empresas
</t>
        </r>
      </text>
    </comment>
    <comment ref="A505" authorId="0">
      <text>
        <r>
          <rPr>
            <b/>
            <sz val="9"/>
            <rFont val="Segoe UI"/>
            <charset val="134"/>
          </rPr>
          <t xml:space="preserve">Seges: </t>
        </r>
        <r>
          <rPr>
            <sz val="9"/>
            <rFont val="Segoe UI"/>
            <charset val="134"/>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1" authorId="0">
      <text>
        <r>
          <rPr>
            <b/>
            <sz val="9"/>
            <rFont val="Segoe UI"/>
            <charset val="134"/>
          </rPr>
          <t xml:space="preserve">Seges: </t>
        </r>
        <r>
          <rPr>
            <sz val="9"/>
            <rFont val="Segoe UI"/>
            <charset val="134"/>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<sst xmlns="http://schemas.openxmlformats.org/spreadsheetml/2006/main" count="1270" uniqueCount="562">
  <si>
    <t>INSTITUTO FEDERAL DE EDUCAÇÃO, CIÊNCIA E TECNOLOGIA DO CEARÁ                                                                                                                                                                       Alameda José Quintino, S/N - Bairro Prado - CEP 63400-000 - Cedro - CE - www.ifce.edu.br</t>
  </si>
  <si>
    <t>ANEXO III - Planilha de Custo e Formação de Preço - LIMPEZA</t>
  </si>
  <si>
    <t>Valor Total  Estimado do Serviço</t>
  </si>
  <si>
    <t>Item</t>
  </si>
  <si>
    <t>Categoria</t>
  </si>
  <si>
    <t>Tipo de área</t>
  </si>
  <si>
    <t>Preço mensal unitário (R$/ M²)</t>
  </si>
  <si>
    <t>Área (M²)</t>
  </si>
  <si>
    <t>Subtotal (R$)</t>
  </si>
  <si>
    <t>Área Interna</t>
  </si>
  <si>
    <t>Pisos acarpetados</t>
  </si>
  <si>
    <t>Pisos frios</t>
  </si>
  <si>
    <t>Laboratórios</t>
  </si>
  <si>
    <t>Almoxarifados/galpões</t>
  </si>
  <si>
    <t>Oficinas</t>
  </si>
  <si>
    <t>Áreas com espaços livres - saguão, hall e salão</t>
  </si>
  <si>
    <t>Banheiros</t>
  </si>
  <si>
    <t>Área Externa</t>
  </si>
  <si>
    <t>Pisos pavimentados adjacentes/contíguos às edificações</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</si>
  <si>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</si>
  <si>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</si>
  <si>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</si>
  <si>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</si>
  <si>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</si>
  <si>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Áreas Hospitalares e assemelhadas</t>
  </si>
  <si>
    <t>Esquadrias Externas</t>
  </si>
  <si>
    <t>Face externa com exposição a situação de risco</t>
  </si>
  <si>
    <t>face externa sem exposição a situação de risco</t>
  </si>
  <si>
    <t>Face interna</t>
  </si>
  <si>
    <t>Fachadas Envidraçadas</t>
  </si>
  <si>
    <t>Equipamentos + Materiais</t>
  </si>
  <si>
    <t>Total mensal (R$)</t>
  </si>
  <si>
    <t>Total anual (R$)</t>
  </si>
  <si>
    <t>Resumo dos Serviços</t>
  </si>
  <si>
    <t>CATSER</t>
  </si>
  <si>
    <t>Descrição do Serviço</t>
  </si>
  <si>
    <t>Unidade</t>
  </si>
  <si>
    <t>Quantidade de m² mensal</t>
  </si>
  <si>
    <t>Valor Mensal por m² (R$)</t>
  </si>
  <si>
    <t>Valor unitário por m² (R$)</t>
  </si>
  <si>
    <t>Valor Anual TOTAL (R$)</t>
  </si>
  <si>
    <t>2402-3</t>
  </si>
  <si>
    <r>
      <rPr>
        <sz val="11"/>
        <color rgb="FF000000"/>
        <rFont val="Times New Roman"/>
        <charset val="1"/>
      </rPr>
      <t xml:space="preserve">Serviços continuados de limpeza e conservação predial, com fornecimento de materiais e equipamentos para atender as necessidades do </t>
    </r>
    <r>
      <rPr>
        <i/>
        <sz val="11"/>
        <color rgb="FF000000"/>
        <rFont val="Times New Roman"/>
        <charset val="1"/>
      </rPr>
      <t xml:space="preserve">campus </t>
    </r>
    <r>
      <rPr>
        <sz val="11"/>
        <color rgb="FF000000"/>
        <rFont val="Times New Roman"/>
        <charset val="1"/>
      </rPr>
      <t>Cedro</t>
    </r>
  </si>
  <si>
    <t>Serviço</t>
  </si>
  <si>
    <t>VALOR COM ARRENDONDAMENTO</t>
  </si>
  <si>
    <t>Valor Anual por m² (R$)</t>
  </si>
  <si>
    <r>
      <rPr>
        <b/>
        <sz val="11"/>
        <color rgb="FF000000"/>
        <rFont val="Times New Roman"/>
        <charset val="1"/>
      </rPr>
      <t xml:space="preserve">Serviços continuados de limpeza e conservação predial, com fornecimento de materiais e equipamentos para atender as necessidades do </t>
    </r>
    <r>
      <rPr>
        <b/>
        <i/>
        <sz val="11"/>
        <color rgb="FF000000"/>
        <rFont val="Times New Roman"/>
        <charset val="1"/>
      </rPr>
      <t xml:space="preserve">campus </t>
    </r>
    <r>
      <rPr>
        <b/>
        <sz val="11"/>
        <color rgb="FF000000"/>
        <rFont val="Times New Roman"/>
        <charset val="1"/>
      </rPr>
      <t>Cedro</t>
    </r>
  </si>
  <si>
    <t xml:space="preserve">Servidora Responsável: </t>
  </si>
  <si>
    <t>Thalyta Alves Cipriano de Oliveira        Assistente em Administração 1177410         IFCE - Campus Cedro</t>
  </si>
  <si>
    <t xml:space="preserve">
INSTITUTO FEDERAL DE EDUCAÇÃO, CIÊNCIA E TECNOLOGIA DO CEARÁ
Alameda José Quintino, S/N - Bairro Prado - CEP 63400-000 - Cedro - CE - www.ifce.edu.br</t>
  </si>
  <si>
    <t>ANEXO II - Planilha de Custo e Formação de Preço - RE</t>
  </si>
  <si>
    <t>QUADRO RESUMO DA PROPOSTA  POR FATO GERADOR</t>
  </si>
  <si>
    <t>Contratação de empresa especializada para a prestação de serviços terceirizados e continuados com dedicação exclusiva de mão de obra para o IFCE – Campus Cedro</t>
  </si>
  <si>
    <t>GRUPO</t>
  </si>
  <si>
    <t>ITEM</t>
  </si>
  <si>
    <t>DESCRIÇÃO</t>
  </si>
  <si>
    <t>UNIDADE</t>
  </si>
  <si>
    <t>QUANTIDADE DE POSTOS</t>
  </si>
  <si>
    <t>VALOR UNITÁRIO POSTO (R$)</t>
  </si>
  <si>
    <t>VALOR MENSAL TOTAL (R$)</t>
  </si>
  <si>
    <t>VALOR ANUAL TOTAL (R$)</t>
  </si>
  <si>
    <t>-</t>
  </si>
  <si>
    <t xml:space="preserve">	RECEPCIONISTA (CBO 4221-05)</t>
  </si>
  <si>
    <t>TOTAL (R$)</t>
  </si>
  <si>
    <t>ÁREAS INTERNAS</t>
  </si>
  <si>
    <t>(1 x 2)</t>
  </si>
  <si>
    <t>MÃO DE OBRA -  SERVENTE</t>
  </si>
  <si>
    <t>PRODUTIVIDADE (1/m²)</t>
  </si>
  <si>
    <t>PREÇO HOMEM-MÊS (R$)</t>
  </si>
  <si>
    <t>SUBTOTAL     (R$/m²)</t>
  </si>
  <si>
    <t>PISOS FRIOS</t>
  </si>
  <si>
    <t>1/800</t>
  </si>
  <si>
    <t>TOTAL</t>
  </si>
  <si>
    <t>LABORATÓRIOS</t>
  </si>
  <si>
    <t>1/360</t>
  </si>
  <si>
    <t>ALMOXARIFADOS/GALPÕES</t>
  </si>
  <si>
    <t>1/1500</t>
  </si>
  <si>
    <t>ÁREAS COM ESPAÇOS LIVRES - SAGUÃO, HALL E SALÃO</t>
  </si>
  <si>
    <t>1/1000</t>
  </si>
  <si>
    <t>BANHEIROS</t>
  </si>
  <si>
    <t>1/200</t>
  </si>
  <si>
    <t>ÁREAS EXTERNAS</t>
  </si>
  <si>
    <t>SUBTOTAL (R$/m²)</t>
  </si>
  <si>
    <t>VARRIÇÃO DE PASSEIOS E ARRUAMENTOS</t>
  </si>
  <si>
    <t>1/6000</t>
  </si>
  <si>
    <t>PÁTIOS E ÁREAS VERDES COM BAIXA FREQUÊNCIA</t>
  </si>
  <si>
    <t>1/1800</t>
  </si>
  <si>
    <t>ESQUADRIAS EXTERNAS</t>
  </si>
  <si>
    <t>(1 x 2 x 3 x 4)</t>
  </si>
  <si>
    <t>PRODUTIVIDADE 1/m²</t>
  </si>
  <si>
    <t>FREQUÊNCIA NO MÊS (HORAS)</t>
  </si>
  <si>
    <t>JORNADA DE TRABALHO NO MÊS (HORAS)</t>
  </si>
  <si>
    <t>SUBTOTAL    (R$/m²)</t>
  </si>
  <si>
    <t>FACE EXTERNA SEM EXPOSIÇÃO A SITUAÇÃO DE RISCO</t>
  </si>
  <si>
    <t>1/300</t>
  </si>
  <si>
    <t>1/188,76</t>
  </si>
  <si>
    <t>FACE INTERNA</t>
  </si>
  <si>
    <t>VALOR MENSAL DOS SERVIÇOS</t>
  </si>
  <si>
    <t>ÁREA</t>
  </si>
  <si>
    <t>Produtividade (M²)</t>
  </si>
  <si>
    <t>Preço Unitário Metro (R$/M²)</t>
  </si>
  <si>
    <t>Preço Mensal (R$)</t>
  </si>
  <si>
    <t>ÁREAS INTERNAS - PISOS FRIOS</t>
  </si>
  <si>
    <t>ÁREAS INTERNAS - LABORATÓRIOS</t>
  </si>
  <si>
    <t>ÁREAS INTERNAS - ALMOXARIFADOS/GALPÕES</t>
  </si>
  <si>
    <t>ÁREAS INTERNAS - ÁREAS COM ESPAÇOS LIVRES - SAGUÃO, HALL E SALÃO</t>
  </si>
  <si>
    <t>ÁREAS INTERNAS - BANHEIROS</t>
  </si>
  <si>
    <t>ÁREAS EXTERNAS - VARRIÇÃO DE PASSEIOS E ARRUAMENTOS</t>
  </si>
  <si>
    <t>ÁREAS EXTERNAS - PÁTIOS E ÁREAS VERDES COM BAIXA FREQUÊNCIA</t>
  </si>
  <si>
    <t>ESQUADRIAS EXTERNAS - FACE EXTERNA SEM EXPOSIÇÃO A SITUAÇÃO DE RISCO</t>
  </si>
  <si>
    <t>ESQUADRIAS EXTERNAS - FACE INTERNA</t>
  </si>
  <si>
    <t>Área  (m²)</t>
  </si>
  <si>
    <t>VR Unit (R$/m²)</t>
  </si>
  <si>
    <t>Postos</t>
  </si>
  <si>
    <t>Thalyta Alves Cipriano de Oliveira Assistente em Administração 1177410 IFCE - Campus Cedro</t>
  </si>
  <si>
    <t>Contratação de empresa especializada para a prestação de serviços terceirizados e continuados com dedicação exclusiva de LIMPEZA E CONSERVAÇÃO para o Instituto Federal de Educação, Ciência e Tecnologia do Ceará – Campus Cedro.</t>
  </si>
  <si>
    <t>FATO GERADOR</t>
  </si>
  <si>
    <t>PLANILHA DE CUSTOS E FORMAÇÃO DE PREÇOS</t>
  </si>
  <si>
    <t xml:space="preserve">MODELO DE FORMAÇÃO DE CUSTO MENSAL PARA UM EMPREGADO </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</si>
  <si>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</si>
  <si>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MÓDULO 1 - REMUNERAÇÃO</t>
  </si>
  <si>
    <t>* A remuneração é definida no art. 457 da Consolidação das Leis do Trabalho. 
* É composta por Salário Base, Adicionais (noturno, de insalubridade ou periculosidade) e gratificações, quando houver.</t>
  </si>
  <si>
    <t>SALÁRIO BASE</t>
  </si>
  <si>
    <t>* O Salário Base vem definido na Convenção Coletiva de Trabalho da categoria profissional a ser contratada para o objeto da prestação de serviço. 
* O contratante deverá observar se a CCT abrange o município de prestação de serviço e se está vigente.</t>
  </si>
  <si>
    <t>Servente (44h semanais)</t>
  </si>
  <si>
    <t>Cargo B</t>
  </si>
  <si>
    <t>GRATIFICAÇÃO DE FUNÇÃO</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</si>
  <si>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</si>
  <si>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Base de cálculo</t>
  </si>
  <si>
    <t>Percentual</t>
  </si>
  <si>
    <t>Valor da Gratificação</t>
  </si>
  <si>
    <t>ADICIONAL PERICULOSIDADE</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</si>
  <si>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</si>
  <si>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ADICIONAL DE PERICULOSIDADE</t>
  </si>
  <si>
    <t>Valor</t>
  </si>
  <si>
    <t>Cargo A (12x36 Diurno)</t>
  </si>
  <si>
    <t>Cargo A (12x36 Noturno)</t>
  </si>
  <si>
    <t>Cargo B (12x36 Diurno)</t>
  </si>
  <si>
    <t>Cargo B (12x36 Noturno)</t>
  </si>
  <si>
    <t>Cargo B (44h semanais)</t>
  </si>
  <si>
    <t>ADICIONAL NOTURNO</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</si>
  <si>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</si>
  <si>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t>Base de Cálculo</t>
  </si>
  <si>
    <t>Proporção</t>
  </si>
  <si>
    <t>HORA NOTURNA REDUZIDA</t>
  </si>
  <si>
    <t>ADICIONAL POR TRABALHO NOTURNO</t>
  </si>
  <si>
    <t>Adicional Noturno</t>
  </si>
  <si>
    <t>Hora Noturna
Reduzida</t>
  </si>
  <si>
    <t>ADICIONAL XXX</t>
  </si>
  <si>
    <t>* Em caso de previsão de outros adicionais em Convenção Coletiva de Trabalho o órgão poderá utilizar este campo.</t>
  </si>
  <si>
    <t>Cargo A (44h semanais)</t>
  </si>
  <si>
    <t>Este quadro totaliza a remuneração devida ao trabalhador, conforme previsão da Consolidação das Leis do Trabalho e valores disponíveis na Convenção Coletiva para a categoria</t>
  </si>
  <si>
    <t>Salário Base</t>
  </si>
  <si>
    <t>Gratificação de função</t>
  </si>
  <si>
    <t>Adicional de Periculosidade ou Insalubridade</t>
  </si>
  <si>
    <t>Total</t>
  </si>
  <si>
    <t>MÓDULO 2 - ENCARGOS E BENEFÍCIOS (ANUAIS, MENSAIS E DIÁRIOS)</t>
  </si>
  <si>
    <t>SUBMÓDULO 2.1 – 13° SALÁRIO, FÉRIAS E ADICIONAL DE FÉRIAS</t>
  </si>
  <si>
    <t>13° SALÁRIO
Previsto no Decreto 57.155, de 1965.</t>
  </si>
  <si>
    <t>Provisionamento Mensal</t>
  </si>
  <si>
    <t>FÉRIAS
Previsto no art. 7° da Constituição Federal</t>
  </si>
  <si>
    <t>ADICIONAL DE FÉRIAS - 1/3 CONSTITUCIONAL</t>
  </si>
  <si>
    <t>Alíquota Adicional</t>
  </si>
  <si>
    <t>13° Salário</t>
  </si>
  <si>
    <t xml:space="preserve">Férias </t>
  </si>
  <si>
    <t>1/3 Constitucional</t>
  </si>
  <si>
    <t>SUBMÓDULO 2.2 - ENCARGOS PREVIDENCIÁRIOS E FGTS</t>
  </si>
  <si>
    <t>* Previsto no art. 195 da Constituição Federal. 
* Os percentuais informados não são taxativos e deverão observar o enquadramento real das empresas prestadoras de serviço, em especial no que diz respeito ao SAT-GIIL/RAT.</t>
  </si>
  <si>
    <t>COMPOSIÇÃO DO GPS E FGTS</t>
  </si>
  <si>
    <t>Encargos</t>
  </si>
  <si>
    <t>INSS - empregador</t>
  </si>
  <si>
    <t>Salário-Educação</t>
  </si>
  <si>
    <t>SAT- GIL/RAT</t>
  </si>
  <si>
    <t>SESC</t>
  </si>
  <si>
    <t>SENAC</t>
  </si>
  <si>
    <t>SEBRAE</t>
  </si>
  <si>
    <t>INCRA</t>
  </si>
  <si>
    <t>FGTS</t>
  </si>
  <si>
    <t>GPS - GUIA DA PREVIDÊNCIA SOCIAL</t>
  </si>
  <si>
    <t>FGTS - FUNDO DE GARANTIA POR TEMPO DE SERVIÇO</t>
  </si>
  <si>
    <t>GPS</t>
  </si>
  <si>
    <t>SUBMÓDULO 2.3 - BENEFÍCIOS MENSAIS E DIÁRIOS</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</si>
  <si>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</si>
  <si>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VALE TRANSPORTE</t>
  </si>
  <si>
    <t>CUSTO DA PASSAGEM</t>
  </si>
  <si>
    <t>Vr. Unitário</t>
  </si>
  <si>
    <t xml:space="preserve">Vales por dia </t>
  </si>
  <si>
    <t>Dias efetivamente trabalhados</t>
  </si>
  <si>
    <t>Custo total</t>
  </si>
  <si>
    <t>DESCONTO DO VALE TRANSPORTE</t>
  </si>
  <si>
    <t>Proporcionalidade</t>
  </si>
  <si>
    <t>Desconto</t>
  </si>
  <si>
    <t>CUSTO EFETIVO DO VALE TRANSPORTE</t>
  </si>
  <si>
    <t>Valor do desconto</t>
  </si>
  <si>
    <t>Custo efetivo</t>
  </si>
  <si>
    <t>VALE ALIMENTAÇÃO/REFEIÇÃO</t>
  </si>
  <si>
    <t>Valor diário</t>
  </si>
  <si>
    <t>DESCONTO DO VALE ALIMENTAÇÃO/REFEIÇÃO</t>
  </si>
  <si>
    <t>CUSTO EFETIVO DO VALE ALIMENTAÇÃO/REFEIÇÃO</t>
  </si>
  <si>
    <r>
      <rPr>
        <b/>
        <sz val="12"/>
        <color rgb="FF000000"/>
        <rFont val="Times New Roman"/>
        <charset val="134"/>
      </rPr>
      <t xml:space="preserve">BENEFÍCIO CESTA BÁSICA
</t>
    </r>
    <r>
      <rPr>
        <sz val="12"/>
        <color rgb="FFFF0000"/>
        <rFont val="Times New Roman"/>
        <charset val="134"/>
      </rPr>
      <t>Utilizar este campo em caso de outros benefícios previstos em Convenção Coletiva, sempre especificando o tipo, finalidade e previsão legal do mesmo.</t>
    </r>
  </si>
  <si>
    <t>BENEFÍCIO CESTA BÁSICA</t>
  </si>
  <si>
    <t>Quantidade</t>
  </si>
  <si>
    <r>
      <rPr>
        <b/>
        <sz val="12"/>
        <color rgb="FF000000"/>
        <rFont val="Times New Roman"/>
        <charset val="134"/>
      </rPr>
      <t xml:space="preserve">BENEFÍCIO PLANO DE SAÚDE
</t>
    </r>
    <r>
      <rPr>
        <sz val="12"/>
        <color rgb="FFFF0000"/>
        <rFont val="Times New Roman"/>
        <charset val="134"/>
      </rPr>
      <t>Utilizar este campo em caso de outros benefícios previstos em Convenção Coletiva, sempre especificando o tipo, finalidade e previsão legal do mesmo.</t>
    </r>
  </si>
  <si>
    <t>BENEFÍCIO PLANO SAÚDE</t>
  </si>
  <si>
    <r>
      <rPr>
        <b/>
        <sz val="12"/>
        <color rgb="FF000000"/>
        <rFont val="Times New Roman"/>
        <charset val="134"/>
      </rPr>
      <t xml:space="preserve">BENEFÍCIO CRECHE
</t>
    </r>
    <r>
      <rPr>
        <sz val="12"/>
        <color rgb="FFFF0000"/>
        <rFont val="Times New Roman"/>
        <charset val="134"/>
      </rPr>
      <t>Utilizar este campo em caso de outros benefícios previstos em Convenção Coletiva, sempre especificando o tipo, finalidade e previsão legal do mesmo.</t>
    </r>
  </si>
  <si>
    <t>BENEFÍCIO CRECHE</t>
  </si>
  <si>
    <r>
      <rPr>
        <b/>
        <sz val="12"/>
        <color rgb="FF000000"/>
        <rFont val="Times New Roman"/>
        <charset val="134"/>
      </rPr>
      <t xml:space="preserve">BENEFÍCIO AUXÍLIO FUNERAL
</t>
    </r>
    <r>
      <rPr>
        <sz val="12"/>
        <color rgb="FFFF0000"/>
        <rFont val="Times New Roman"/>
        <charset val="134"/>
      </rPr>
      <t>Utilizar este campo em caso de outros benefícios previstos em Convenção Coletiva, sempre especificando o tipo, finalidade e previsão legal do mesmo.</t>
    </r>
  </si>
  <si>
    <t>BENEFÍCIO AUXÍLIO FUNERAL</t>
  </si>
  <si>
    <t>Vale Transporte</t>
  </si>
  <si>
    <t>Vale Refeição</t>
  </si>
  <si>
    <t>Benefício Cesta báscia</t>
  </si>
  <si>
    <t>Benefício Plano Saúde</t>
  </si>
  <si>
    <t>Benefício Creche</t>
  </si>
  <si>
    <t>Benefício Auxílio Funeral</t>
  </si>
  <si>
    <t>Submódulo 2.1</t>
  </si>
  <si>
    <t>Submódulo 2.2</t>
  </si>
  <si>
    <t>Submódulo 2.3</t>
  </si>
  <si>
    <t>MÓDULO 3 - PROVISÃO PARA RESCISÃO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</si>
  <si>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</si>
  <si>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</si>
  <si>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</si>
  <si>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</si>
  <si>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</si>
  <si>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</si>
  <si>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</si>
  <si>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</si>
  <si>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</si>
  <si>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</si>
  <si>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AVISO PRÉVIO INDENIZADO</t>
  </si>
  <si>
    <t>MULTA DO FGTS E CONTRIBUIÇÃO SOCIAL SOBRE O AVISO PRÉVIO INDENIZADO</t>
  </si>
  <si>
    <t>Percentual da 
Multa</t>
  </si>
  <si>
    <t>SUBMÓDULO 3.1 - CUSTO DO AVISO PRÉVIO INDENIZADO</t>
  </si>
  <si>
    <t>SUBMÓDULO 3.2 - AVISO PRÉVIO TRABALHADO</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</si>
  <si>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</si>
  <si>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AVISO PRÉVIO TRABALHADO</t>
  </si>
  <si>
    <t>MULTA DO FGTS E CONTRIBUIÇÃO SOCIAL SOBRE O AVISO PRÉVIO TRABALHADO</t>
  </si>
  <si>
    <t>SUBMÓDULO 3.2 - CUSTO DO AVISO PRÉVIO TRABALHADO</t>
  </si>
  <si>
    <t>SUBMÓDULO 3.3 - DEMISSÃO POR JUSTA CAUSA</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</si>
  <si>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</si>
  <si>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BASE DE CÁLCULO PARA DEMISSÃO POR JUSTA CAUSA</t>
  </si>
  <si>
    <t>Valor provisionado do 13º Salário</t>
  </si>
  <si>
    <t>Valor provisionado das Férias</t>
  </si>
  <si>
    <t>Valor provisionado do Adicional de Férias</t>
  </si>
  <si>
    <t>SUBMÓDULO 3.3 - CUSTO DA DEMISSÃO COM JUSTA CAUSA</t>
  </si>
  <si>
    <t>Submódulo 3.1</t>
  </si>
  <si>
    <t>Submódulo 3.2</t>
  </si>
  <si>
    <t>Submódulo 3.3</t>
  </si>
  <si>
    <t>MÓDULO 4 - CUSTO DE REPOSIÇÃO DO PROFISSIONAL AUSENTE</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</si>
  <si>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</si>
  <si>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Probabilidade de ocorrência de ausências legais, conforme previsão do art. 473 da Consolidação das Leis do Trabalho.</t>
  </si>
  <si>
    <t xml:space="preserve">Memória de Cálculo - número de dias de reposição do profissional ausente para cada evento </t>
  </si>
  <si>
    <t>Incidencia anual</t>
  </si>
  <si>
    <t>Duração Legal  
da Ausência</t>
  </si>
  <si>
    <t>12x36</t>
  </si>
  <si>
    <t>44h</t>
  </si>
  <si>
    <t>Proporção dias afetados</t>
  </si>
  <si>
    <t>Dias de reposição</t>
  </si>
  <si>
    <t>Férias</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</si>
  <si>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</si>
  <si>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</si>
  <si>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</si>
  <si>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</si>
  <si>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</si>
  <si>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</si>
  <si>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</si>
  <si>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</si>
  <si>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</si>
  <si>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</si>
  <si>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</si>
  <si>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ESTIMATIVA DA NECESSIDADE DE REPOSIÇÃO DE PROFISSIONAL</t>
  </si>
  <si>
    <t>Composição</t>
  </si>
  <si>
    <t>ESCALAS -  Cargo A</t>
  </si>
  <si>
    <t xml:space="preserve"> 12 x 36 D</t>
  </si>
  <si>
    <t>12 x 36 N</t>
  </si>
  <si>
    <t>44 SEM</t>
  </si>
  <si>
    <t>Total Para reposição</t>
  </si>
  <si>
    <t>SUBMÓDULO 4.1 - AUSÊNCIAS LEGAIS</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</si>
  <si>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</si>
  <si>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CUSTO DIÁRIO PARA O REPOSITOR</t>
  </si>
  <si>
    <t>Divisor do dia</t>
  </si>
  <si>
    <t>Custo diário</t>
  </si>
  <si>
    <t>Necessidade de Reposição</t>
  </si>
  <si>
    <t>Custo anual</t>
  </si>
  <si>
    <t>Custo mensal</t>
  </si>
  <si>
    <t>SUBMÓDULO 4.2 - INTRAJORNADA</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</si>
  <si>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</si>
  <si>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CUSTO POR HORA DO REPOSITOR</t>
  </si>
  <si>
    <t>divisor de hora</t>
  </si>
  <si>
    <t>Valor da hora</t>
  </si>
  <si>
    <t>Necessidade de Reposição (horas)</t>
  </si>
  <si>
    <t>Submódulo 4.1</t>
  </si>
  <si>
    <t>Submódulo 4.2</t>
  </si>
  <si>
    <t>MÓDULO 5 - INSUMOS DE MÃO DE OBRA</t>
  </si>
  <si>
    <t>UNIFORMES - COMPOSIÇÃO - VALOR MENSAL</t>
  </si>
  <si>
    <t>qte</t>
  </si>
  <si>
    <t>Vr. Unitario</t>
  </si>
  <si>
    <t>Valor Total Mensal</t>
  </si>
  <si>
    <t xml:space="preserve">Calça profissional, confeccionada em tecido brim, meio cós, meio elástico, com bolsos e modelagem compatíveis com as atividades desempenhadas, oferecendo durabilidade, resistência a rasgos e abrasões em geral. Em Brim, comprida, com elástico e cordão </t>
  </si>
  <si>
    <t>Camisa tipo jaleco, com gola, manga curta e bolso lateral, em tecido brim (100% algodão) ou oxford (100% poliester), com nome e logotipo de identificação da contratada.</t>
  </si>
  <si>
    <t xml:space="preserve">Par de meia esporte na cor branca. </t>
  </si>
  <si>
    <t xml:space="preserve">Camisa profissional resistente a rasgos e abrasões em geral, com gola, manga longa, em tecido malha fria, com proteção UV, com emblema da empresa  </t>
  </si>
  <si>
    <t>Bota PVC de segurança com solado antiderrapante, preta, forrada, cano curto - CA 18472</t>
  </si>
  <si>
    <t>Crachá de identificação funcional, com cordão.¹</t>
  </si>
  <si>
    <t>Custo MENSAL por Funcionário</t>
  </si>
  <si>
    <t>MATERIAIS - COMPOSIÇÃO - VALOR MENSAL</t>
  </si>
  <si>
    <t>Percentual¹</t>
  </si>
  <si>
    <t>Servente</t>
  </si>
  <si>
    <t>¹ Caderno Técnico de Limpeza - 2019 - Custo estimado de 1,45% sobre o custo total do profissional.</t>
  </si>
  <si>
    <t>¹Prestação de serviços de limpeza, asseio e conservação / Ministério do Planejamento, Orçamento e
Gestão, Secretaria de Logística e Tecnologia da Informação. – Brasília : SLTI, 2014. ( Caderno de Logística; Contratações públicas sustentáveis)</t>
  </si>
  <si>
    <t>Custo com Uniformes</t>
  </si>
  <si>
    <t>Custo com Materiais</t>
  </si>
  <si>
    <t>Valor Mensal</t>
  </si>
  <si>
    <t>MÓDULO 6 - CUSTOS INDIRETOS, TRIBUTOS E LUCRO</t>
  </si>
  <si>
    <t>INFORMAÇÃO DE PERCENTUAIS ESTIMADOS DE CITL</t>
  </si>
  <si>
    <t>Custos Indiretos¹</t>
  </si>
  <si>
    <t>Tributos</t>
  </si>
  <si>
    <t>Lucro¹</t>
  </si>
  <si>
    <t>RATEIO DO Cargo B</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</si>
  <si>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</si>
  <si>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RATEIO DA CHEFIA DE CAMPO</t>
  </si>
  <si>
    <t>Subordinados</t>
  </si>
  <si>
    <t>CUSTO DO TRABALHADOR</t>
  </si>
  <si>
    <t>CUSTO TOTAL POR TRABALHADOR</t>
  </si>
  <si>
    <t>Módulo</t>
  </si>
  <si>
    <t>12x36 Diurno</t>
  </si>
  <si>
    <t>12x36 Noturno</t>
  </si>
  <si>
    <t>44h Semanais</t>
  </si>
  <si>
    <t>Remuneração</t>
  </si>
  <si>
    <t>Encargos e Benefícios</t>
  </si>
  <si>
    <t>Rescisão</t>
  </si>
  <si>
    <t>Reposição do Profissional Ausente</t>
  </si>
  <si>
    <t>Insumos Diversos</t>
  </si>
  <si>
    <t>Custos Indiretos, Tributos e Lucro</t>
  </si>
  <si>
    <t>Rateio da Chefia de Campo</t>
  </si>
  <si>
    <t>Valor por Empregado</t>
  </si>
  <si>
    <t>Valor por Posto</t>
  </si>
  <si>
    <t>PLANILHA DE MATERIAIS</t>
  </si>
  <si>
    <t>USO MENSAL: </t>
  </si>
  <si>
    <r>
      <rPr>
        <b/>
        <sz val="12"/>
        <color theme="1"/>
        <rFont val="Times New Roman"/>
        <charset val="134"/>
      </rPr>
      <t>Quantidade Estimada de Fornecimento de Materiais por mês</t>
    </r>
    <r>
      <rPr>
        <sz val="11"/>
        <color rgb="FF000000"/>
        <rFont val="Times New Roman"/>
        <charset val="1"/>
      </rPr>
      <t> </t>
    </r>
  </si>
  <si>
    <t>ITEM </t>
  </si>
  <si>
    <t>DESCRIÇÃO </t>
  </si>
  <si>
    <t>UND </t>
  </si>
  <si>
    <t>QTDE MENSAL </t>
  </si>
  <si>
    <t>QTDE ANUAL </t>
  </si>
  <si>
    <t>QTDE MENSAL - OUTRA UNIDADE </t>
  </si>
  <si>
    <t>QTDE ANUAL - OUTRA UNIDAD </t>
  </si>
  <si>
    <t>VALOR UNITÁRIO (R$)</t>
  </si>
  <si>
    <t>VALOR TOTAL MENSAL (R$)</t>
  </si>
  <si>
    <t>1 </t>
  </si>
  <si>
    <t>Água sanitária, solução aquosa à base de hipoclorito de sódio, teor de cloro ativo de variando de 2% a 2,5%. </t>
  </si>
  <si>
    <t>Litro </t>
  </si>
  <si>
    <t>170 (1L) </t>
  </si>
  <si>
    <t>2.040 (1L) </t>
  </si>
  <si>
    <t>34 (Galão de 5L) </t>
  </si>
  <si>
    <t>408 (Galão de 5L) </t>
  </si>
  <si>
    <t>2 </t>
  </si>
  <si>
    <t>Álcool etílico hidratado 92,8º INPM, uso doméstico, emb. plástica, caixa com 12x1000ml, original do fabricante, tampa lacrada, c/responsável técnico, data de fabricação e de validade, indicações e precauções de uso, composição e informações do fabricante estampados na embalagem. Santa cruz ou equivalente. </t>
  </si>
  <si>
    <t>180 </t>
  </si>
  <si>
    <t>- </t>
  </si>
  <si>
    <t>3 </t>
  </si>
  <si>
    <t>Cera liquida incolor – cera, tipo liquida, cor incolor leitoso, composição a base de água carnaúba e resinas metalizadas, características e resinas metalizadas, características, aplicação limpeza de pisos, embalagem Galão com 5L. </t>
  </si>
  <si>
    <t>Galão (5L) </t>
  </si>
  <si>
    <t>4 </t>
  </si>
  <si>
    <t>Desinfetante hiperconcentrado, lavanda, galão c/ 05 litros, diluição de ate 1:200, original do fabricante, c/responsável técnico, data de fabricação e de validade, indicações e precauções de uso, composição e informações do fabricante estampados na embalagem, c/ Reg. no Ministério da Saúde. Spartan, Johnson ou equivalente. </t>
  </si>
  <si>
    <t>120 </t>
  </si>
  <si>
    <t>5 </t>
  </si>
  <si>
    <t>Desodorizador de ambiente, com dupla ação (neutraliza odores e perfuma), fragrâncias lavanda, contendo CFC em sua fórmula, frasco com 440ml, Reg. no Ministério da Saúde, químico responsável, data de fabricação e de validade, composição e informações do fabricante estampada na embalagem. Bom ar, Glade ou equivalente. </t>
  </si>
  <si>
    <t>Und </t>
  </si>
  <si>
    <t>360 </t>
  </si>
  <si>
    <t>6 </t>
  </si>
  <si>
    <t>Desodorizante sanitário pinho pedra com suporte, embalagem 35g original do fabricante, c/Registro no Ministério da Saúde, químico responsável, data de fabricação e de validade, composição e informações do fabricante estampada na embalagem, contendo 2und x 35gr. Glade, Pato ou equivalente. </t>
  </si>
  <si>
    <t>1.440 </t>
  </si>
  <si>
    <t>7 </t>
  </si>
  <si>
    <t>Esponja multiuso dupla face, sendo uma em fibra sintética com material abrasivo e a outra em espuma de poliuretano, medindo 100x70x20mm (variação de até 10%). </t>
  </si>
  <si>
    <t>624 </t>
  </si>
  <si>
    <t>8 </t>
  </si>
  <si>
    <t>Detergente líquido, neutro, galões de 5L, biodegradável, original do fabricante, c/Reg. do Ministério da Saúde, químico responsável, indicação de uso, composição, data de fabricação e de validade e informações do fabricante estampados na embalagem. Limpol, Minerva ou equivalente. </t>
  </si>
  <si>
    <t>960 </t>
  </si>
  <si>
    <t>9 </t>
  </si>
  <si>
    <t>Flanela para limpeza, na cor branca/amarela, med. Aprox. 40 x 60 cm, com costuras nas laterais, 100% algodão, alta absorção de umidade, acondicionada em emb. plástica, original do fabricante, com informações e composição do fabricante estampados na peça. Esperança ou equivalente. </t>
  </si>
  <si>
    <t>10 </t>
  </si>
  <si>
    <t>Limpa vidro. </t>
  </si>
  <si>
    <t>Frasco (500 ml) </t>
  </si>
  <si>
    <t>12 </t>
  </si>
  <si>
    <t>Lustra móveis com essência, formaldeido, cera de carnaúba, álcool cetoestearílico etoxilado, polímero carboxinivílico, trietanolamina, dimeticone e água com 200 ml. Bravo ou equivalente. </t>
  </si>
  <si>
    <t>Frasco (200 ml) </t>
  </si>
  <si>
    <t>13 </t>
  </si>
  <si>
    <t>Luva de borracha doméstica multiuso para limpeza P/M/G. </t>
  </si>
  <si>
    <t>Par </t>
  </si>
  <si>
    <t>432 </t>
  </si>
  <si>
    <t>14 </t>
  </si>
  <si>
    <t>Pano para chão, composição: fibras diversas, pacote com 3 unidades (40cm X 67cm), marca: qualitá ou equivalente. </t>
  </si>
  <si>
    <t>Pacote (com 3 und </t>
  </si>
  <si>
    <t>156 </t>
  </si>
  <si>
    <t>15 </t>
  </si>
  <si>
    <t>Papel Higiênico Industrial Folha Dupla 300 Metros, largura de 10 cm, produzido com 100% de celulose virgem, macio e com alto poder de absorção, original do fabricante, com composição, data de fabricação e de validade e informações do fabricante estampados na embalagem.  </t>
  </si>
  <si>
    <t>Fardo ( com 8 rolos de 300m) </t>
  </si>
  <si>
    <t>240 </t>
  </si>
  <si>
    <t>16 </t>
  </si>
  <si>
    <t>Papel toalha, med. Aprox. 22x22cm, brancas, intercaladas, tipo interfolhas folha dupla, duas dobras, extra suave, macias e absorventes, 100% celulose virgem,  c/informações do fabricante e composição estampados no corpo da embalagem. Neve, Fofinho, Personal ou equivalente.  </t>
  </si>
  <si>
    <t>Fardo (com 10 pacotesx 250 folhas) </t>
  </si>
  <si>
    <t>17 </t>
  </si>
  <si>
    <t>Polidor de alumínio  </t>
  </si>
  <si>
    <t xml:space="preserve">Frasco (500 ml) </t>
  </si>
  <si>
    <t>6 (Galão de 5L) </t>
  </si>
  <si>
    <t>72 (Galão de 5L) </t>
  </si>
  <si>
    <t>Sabão em barra composição: sabão Base, Hidróxido de Sódio, Óleo de Coco, Cloreto de Sódio, Glicerina, Carbonato de Sódio, Perfume, Coadjuvante e Água. Brilhante ou equivalente. </t>
  </si>
  <si>
    <t>Und  (1 kg) </t>
  </si>
  <si>
    <t>Sabão em Pó. Omo, Minerva ou equivalente. </t>
  </si>
  <si>
    <t>Und (500g) </t>
  </si>
  <si>
    <t>480 </t>
  </si>
  <si>
    <t>Sabonete líquido super concentrado, com ph neutro, fragrância erva-doce ou lavanda. </t>
  </si>
  <si>
    <t>600 </t>
  </si>
  <si>
    <t>Saco plástico p/lixo cap. 100 litros na cor preta medindo 75x95 cm, pacote, em polietileno reforçado, sanfonado lateralmente e com costura eletrônica no fundo, espessura mínima com espessura de 0,004 cm. Original do fabricante, indicação de uso, composição, data de fabricação e de validade e informações do fabricante estampados na emb., certificado do INMETRO ou Reg. de aprovação pela ABNT. Rava, Igual ou equivalente. </t>
  </si>
  <si>
    <t>Pacote (com 100 und) </t>
  </si>
  <si>
    <t>Saco plástico p/lixo cap. 200 litros na cor preta, com espessura de 0,012 cm. Original do fabricante, indicação de uso, composição, data de fabricação e de validade e informações do fabricante e composição estampados no corpo da peça. Rava, Igual ou equivalente. </t>
  </si>
  <si>
    <t>23 </t>
  </si>
  <si>
    <t>Saco plástico p/lixo cap. 40 litros na cor preta medindo 60x60 cm, com espessura de 0,004 cm. Original do fabricante, indicação de uso, composição, data de fabricação e de validade e informações do fabricante e composição estampados no corpo da peça. Rava, Igual ou equivalente. </t>
  </si>
  <si>
    <t>24 </t>
  </si>
  <si>
    <t>Vassoura nylon cabo rosqueável, com cepa em polipropileno com no mínimo 26 cm com cerdas de nylon felpudas nas pontas, composta de no mínimo de 60 tufos, organizados no mínimo de 4 por 15 fileiras e cada tufos formados pó no mínimo de 14 cerdas de nylon macio e flexível com pontas de comprimento mínimo de 14 cm, cabo de madeira ou tubo metálico com 120 /- 5 cm de comprimento, revestido de película plástica, impermeável e ponta de plástico com rosca para fixar na vassoura. </t>
  </si>
  <si>
    <t>96 </t>
  </si>
  <si>
    <t>25 </t>
  </si>
  <si>
    <r>
      <rPr>
        <sz val="11"/>
        <color rgb="FF000000"/>
        <rFont val="Times New Roman"/>
        <charset val="1"/>
      </rPr>
      <t xml:space="preserve">Esponja Fibra Abrasiva Verde Uso Geral Limpeza Multiuso </t>
    </r>
    <r>
      <rPr>
        <sz val="11"/>
        <rFont val="Times New Roman"/>
        <charset val="1"/>
      </rPr>
      <t>25 cm x 10 cm x 0.8 cm </t>
    </r>
  </si>
  <si>
    <t>und </t>
  </si>
  <si>
    <t> TOTAL (R$)</t>
  </si>
  <si>
    <t>USO POR DEMANDA: </t>
  </si>
  <si>
    <r>
      <rPr>
        <b/>
        <sz val="12"/>
        <color theme="1"/>
        <rFont val="Times New Roman"/>
        <charset val="134"/>
      </rPr>
      <t>Quantidade Estimada de Fornecimento de Materiais para dez anos por demanda</t>
    </r>
    <r>
      <rPr>
        <sz val="11"/>
        <color rgb="FF000000"/>
        <rFont val="Times New Roman"/>
        <charset val="1"/>
      </rPr>
      <t> </t>
    </r>
  </si>
  <si>
    <t>QTDE TOTAL PARA OS 10 ANOS  </t>
  </si>
  <si>
    <t>Desengordurante concentrado para limpeza em áreas áreas, equipamentos e acessórios sujos com materiais gordurosos e oleosos. Tais como: paredes, bancadas, pisos e cortadores de frios, lixeiras, etc. Além de promover a remoção de gorduras em balcões, fogões e coifas de cozinhas profissionais. </t>
  </si>
  <si>
    <t>Frasco (500ml) </t>
  </si>
  <si>
    <t>Balde de plástico com capacidade de 20 litros, com alça de arame galvanizado com reforço no fundo e borda.(há estoque-observar) </t>
  </si>
  <si>
    <t>Unidade </t>
  </si>
  <si>
    <t>Cesto de lixo, polipropileno, com pedal para a abertura da tampa, capacidade aproximada de 60 litros, cor preferencialmente preta. </t>
  </si>
  <si>
    <t>Cesto de lixo, polipropileno, redondo, sem tampa, telado, capacidade aproximada de 10 litros, cor preta ou grafite. </t>
  </si>
  <si>
    <t>Ciscador para grama – vassoura tipo ancinho material aço com 22 dentes, no mínimo. Cabo de madeira plastificado de 1,2m de comprimento. </t>
  </si>
  <si>
    <t>Desentupidor de vaso sanitário a vácuo. </t>
  </si>
  <si>
    <t>Dispenser em ABS para papel higiênico industrial, para rolo de 300 a 400m, com visor para controle de reposição do papel e fundo branco e sistema de fechamento feito através de fechadura. </t>
  </si>
  <si>
    <t>Escova de mão. </t>
  </si>
  <si>
    <t>Espanador de agave, material sisal, material cabo madeira, comprimento cado 20cm. </t>
  </si>
  <si>
    <t>Máscara respiratória descartável, tipo semi facial filtrante, modelo dobrável, com solda eletrônica em todo perímetro, confeccionada com manta sintética com tratamento eletrostático, para partículas P1, com elásticos para fixação e ajuste à cabeça do usuário. Caixa com 100 unidades. </t>
  </si>
  <si>
    <t>Caixa </t>
  </si>
  <si>
    <t>PÁ COLETORA C/ CABO, TAMPA E FIXADOR PRETA P/ COLETA DE RESÍDUOS </t>
  </si>
  <si>
    <t>Pulverizador com gatilho cap 500 ml branco (ver no estoque). </t>
  </si>
  <si>
    <t>Rodo com 2 borrachas – 40 cm de largura, com cabo. </t>
  </si>
  <si>
    <t>Rodo com 2 borrachas – 60 cm de largura, com cabo. </t>
  </si>
  <si>
    <t>19 </t>
  </si>
  <si>
    <t>Saboneteira em ABS (resistente) para afixação em parede, aplicação sabonete líquido ou álcool gel, cor branca (a discutir com a equipe) a cada dois anos </t>
  </si>
  <si>
    <t>20 </t>
  </si>
  <si>
    <t>Escova de nylon para Sanitário, sem Suporte. </t>
  </si>
  <si>
    <t>21 </t>
  </si>
  <si>
    <t>Vassoura de palha natural de canaúba  </t>
  </si>
  <si>
    <t>unidade </t>
  </si>
  <si>
    <t>22 </t>
  </si>
  <si>
    <t>Vassoura de nylon tipo piaçava com cerdas duras. Similar à noviça. </t>
  </si>
  <si>
    <t>Pano de prato, tecido tipo sarja, 100% algodão, dimensões: 40 x 60 cm (variação aceitável de até 10%). </t>
  </si>
  <si>
    <t> </t>
  </si>
  <si>
    <t>TOTAL DOS INSUMO MATERIAIS DE LIMPEZA (R$)</t>
  </si>
  <si>
    <t>MODELO PARA A CONSOLIDAÇÃO E APRESENTAÇÃO DE PROPOSTAS</t>
  </si>
  <si>
    <t>Com ajustes após publicação da Lei n° 13.467, de 2017.</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</si>
  <si>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</si>
  <si>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</si>
  <si>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</si>
  <si>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</si>
  <si>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</si>
  <si>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</si>
  <si>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</si>
  <si>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</si>
  <si>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</si>
  <si>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</si>
  <si>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</si>
  <si>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</si>
  <si>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</si>
  <si>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</si>
  <si>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</si>
  <si>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</si>
  <si>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</si>
  <si>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</si>
  <si>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</si>
  <si>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</si>
  <si>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</si>
  <si>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</si>
  <si>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</si>
  <si>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</si>
  <si>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</si>
  <si>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</si>
  <si>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</si>
  <si>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</si>
  <si>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</si>
  <si>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</si>
  <si>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H</t>
  </si>
  <si>
    <t xml:space="preserve">Total </t>
  </si>
  <si>
    <t>Submódulo 2.3 - Benefícios Mensais e Diários.</t>
  </si>
  <si>
    <t>2.3</t>
  </si>
  <si>
    <t>Benefícios Mensais e Diários</t>
  </si>
  <si>
    <t>Transporte</t>
  </si>
  <si>
    <t>Auxílio-Refeição/Alimentação</t>
  </si>
  <si>
    <t>Benefício Cesta Básica</t>
  </si>
  <si>
    <t>Benefício Plano de Saúde</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</si>
  <si>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</si>
  <si>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</si>
  <si>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</si>
  <si>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</si>
  <si>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</si>
  <si>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</si>
  <si>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</si>
  <si>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</si>
  <si>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</si>
  <si>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</si>
  <si>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</si>
  <si>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</si>
  <si>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</si>
  <si>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</si>
  <si>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</si>
  <si>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</si>
  <si>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</si>
  <si>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Intervalo para repouso e alimentação</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</si>
  <si>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</si>
  <si>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</si>
  <si>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</si>
  <si>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</si>
  <si>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</si>
  <si>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</si>
  <si>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</si>
  <si>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Custos Indiretos</t>
  </si>
  <si>
    <t>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</si>
  <si>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</si>
  <si>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</si>
  <si>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</si>
  <si>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</si>
  <si>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</si>
  <si>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</si>
  <si>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</si>
  <si>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</si>
  <si>
    <t>Áreas Físicas</t>
  </si>
  <si>
    <t>Tipos de Áreas Físicas</t>
  </si>
  <si>
    <t>Produtividade Mínima (1/m²)</t>
  </si>
  <si>
    <t>Preço Homem-Mês (R$)</t>
  </si>
  <si>
    <t xml:space="preserve"> [4] Ki [1/(1) x 2 x (1/(3))]  </t>
  </si>
  <si>
    <t>Total (R$)</t>
  </si>
  <si>
    <t>I – Áreas Internas</t>
  </si>
  <si>
    <t>II - Áreas Externas</t>
  </si>
  <si>
    <t>III - Áreas Hospitalares e assemelhadas</t>
  </si>
  <si>
    <t>[1] Produtividade Mínima (1/m²) [1]</t>
  </si>
  <si>
    <t>[2] Frequência no mês (horas)</t>
  </si>
  <si>
    <t>[3] Jornada de trabalho no mês (Horas)</t>
  </si>
  <si>
    <t xml:space="preserve"> [4] Ki Servente [1/(1) x 2 x (1/(3))]  </t>
  </si>
  <si>
    <t>IV - Esquadrias Externas</t>
  </si>
  <si>
    <t>Face externa sem exposição a situação de risco</t>
  </si>
  <si>
    <t>[2] Frequência no semestre (horas)</t>
  </si>
  <si>
    <t>V - Fachadas Envidraçadas</t>
  </si>
  <si>
    <t>Quantitativos e Produtividade (MÍNIMA)</t>
  </si>
  <si>
    <t>Quantitativos e Produtividade (MÁXIMA)</t>
  </si>
  <si>
    <t>Quantitativo demandado (M²)</t>
  </si>
  <si>
    <t>Qtde. Serventes Calculada</t>
  </si>
  <si>
    <t>Produtividade Máxima (1/m²)</t>
  </si>
  <si>
    <t>V - Áreas Hospitalares e assemelhadas</t>
  </si>
  <si>
    <t xml:space="preserve">[4] Ki [1/(1) x 2 x (1/(3))] </t>
  </si>
  <si>
    <t>Qtde. Serventes</t>
  </si>
  <si>
    <t>[1] Produtividade Máxima (1/m²) [1]</t>
  </si>
  <si>
    <t>III - Esquadrias Externas</t>
  </si>
  <si>
    <t>IV - Fachadas Envidraçadas</t>
  </si>
  <si>
    <t>Total de Serventes</t>
  </si>
</sst>
</file>

<file path=xl/styles.xml><?xml version="1.0" encoding="utf-8"?>
<styleSheet xmlns="http://schemas.openxmlformats.org/spreadsheetml/2006/main" xmlns:mc="http://schemas.openxmlformats.org/markup-compatibility/2006" xmlns:xr9="http://schemas.microsoft.com/office/spreadsheetml/2016/revision9" mc:Ignorable="xr9">
  <numFmts count="14">
    <numFmt numFmtId="176" formatCode="_-* #,##0.00_-;\-* #,##0.00_-;_-* &quot;-&quot;??_-;_-@_-"/>
    <numFmt numFmtId="177" formatCode="_-&quot;R$&quot;\ * #,##0.00_-;\-&quot;R$&quot;\ * #,##0.00_-;_-&quot;R$&quot;\ * &quot;-&quot;??_-;_-@_-"/>
    <numFmt numFmtId="178" formatCode="_-* #,##0_-;\-* #,##0_-;_-* &quot;-&quot;_-;_-@_-"/>
    <numFmt numFmtId="179" formatCode="_-&quot;R$&quot;\ * #,##0_-;\-&quot;R$&quot;\ * #,##0_-;_-&quot;R$&quot;\ * &quot;-&quot;_-;_-@_-"/>
    <numFmt numFmtId="180" formatCode="_(* #,##0.00_);_(* \(#,##0.00\);_(* \-??_);_(@_)"/>
    <numFmt numFmtId="181" formatCode="#,##0.00;[Red]#,##0.00"/>
    <numFmt numFmtId="182" formatCode="#,##0.00;[Red]\-#,##0.00"/>
    <numFmt numFmtId="183" formatCode="0.0000"/>
    <numFmt numFmtId="184" formatCode="#,##0.0000_ ;\-#,##0.0000\ "/>
    <numFmt numFmtId="185" formatCode="&quot;R$&quot;\ #,##0.00"/>
    <numFmt numFmtId="186" formatCode="#,##0.00;\-#,##0.00"/>
    <numFmt numFmtId="187" formatCode="&quot;R$&quot;\ #,##0.00;[Red]\-&quot;R$&quot;\ #,##0.00"/>
    <numFmt numFmtId="188" formatCode="&quot;R$&quot;\ #,##0.00000;[Red]\-&quot;R$&quot;\ #,##0.00000"/>
    <numFmt numFmtId="189" formatCode="&quot;R$&quot;\ #,##0.0000;[Red]\-&quot;R$&quot;\ #,##0.0000"/>
  </numFmts>
  <fonts count="62">
    <font>
      <sz val="11"/>
      <color theme="1"/>
      <name val="Calibri"/>
      <charset val="134"/>
      <scheme val="minor"/>
    </font>
    <font>
      <sz val="11"/>
      <color rgb="FF000000"/>
      <name val="Times New Roman"/>
      <charset val="134"/>
    </font>
    <font>
      <b/>
      <sz val="11"/>
      <color rgb="FF000000"/>
      <name val="Times New Roman"/>
      <charset val="134"/>
    </font>
    <font>
      <sz val="11"/>
      <color rgb="FF000000"/>
      <name val="Calibri"/>
      <charset val="134"/>
    </font>
    <font>
      <b/>
      <sz val="11"/>
      <color rgb="FF000000"/>
      <name val="Calibri"/>
      <charset val="134"/>
    </font>
    <font>
      <sz val="12"/>
      <color theme="1"/>
      <name val="Times New Roman"/>
      <charset val="134"/>
    </font>
    <font>
      <b/>
      <sz val="16"/>
      <color theme="0"/>
      <name val="Times New Roman"/>
      <charset val="134"/>
    </font>
    <font>
      <sz val="18"/>
      <color theme="0"/>
      <name val="Times New Roman"/>
      <charset val="134"/>
    </font>
    <font>
      <sz val="12"/>
      <color rgb="FFFF0000"/>
      <name val="Times New Roman"/>
      <charset val="134"/>
    </font>
    <font>
      <b/>
      <sz val="12"/>
      <color theme="1"/>
      <name val="Times New Roman"/>
      <charset val="134"/>
    </font>
    <font>
      <sz val="11"/>
      <color theme="1"/>
      <name val="Calibri"/>
      <charset val="134"/>
      <scheme val="minor"/>
    </font>
    <font>
      <sz val="18"/>
      <color theme="0"/>
      <name val="Times New Roman"/>
      <charset val="134"/>
    </font>
    <font>
      <b/>
      <sz val="12"/>
      <color theme="1"/>
      <name val="Times New Roman"/>
      <charset val="134"/>
    </font>
    <font>
      <sz val="11"/>
      <color rgb="FF000000"/>
      <name val="Times New Roman"/>
      <charset val="1"/>
    </font>
    <font>
      <sz val="11"/>
      <name val="Times New Roman"/>
      <charset val="1"/>
    </font>
    <font>
      <sz val="11"/>
      <name val="Calibri"/>
      <charset val="1"/>
    </font>
    <font>
      <sz val="10"/>
      <color rgb="FF000000"/>
      <name val="Times New Roman"/>
      <charset val="1"/>
    </font>
    <font>
      <b/>
      <sz val="18"/>
      <color theme="0"/>
      <name val="Times New Roman"/>
      <charset val="134"/>
    </font>
    <font>
      <b/>
      <sz val="12"/>
      <color rgb="FFFF0000"/>
      <name val="Times New Roman"/>
      <charset val="134"/>
    </font>
    <font>
      <sz val="12"/>
      <name val="Times New Roman"/>
      <charset val="134"/>
    </font>
    <font>
      <b/>
      <sz val="12"/>
      <name val="Times New Roman"/>
      <charset val="134"/>
    </font>
    <font>
      <b/>
      <sz val="12"/>
      <color rgb="FF00B050"/>
      <name val="Times New Roman"/>
      <charset val="134"/>
    </font>
    <font>
      <sz val="11"/>
      <color rgb="FF000000"/>
      <name val="Arial"/>
      <charset val="134"/>
    </font>
    <font>
      <b/>
      <sz val="11"/>
      <color rgb="FF000000"/>
      <name val="Arial"/>
      <charset val="134"/>
    </font>
    <font>
      <b/>
      <sz val="11"/>
      <color rgb="FFFFFFFF"/>
      <name val="Arial"/>
      <charset val="134"/>
    </font>
    <font>
      <b/>
      <sz val="18"/>
      <color theme="1"/>
      <name val="Calibri"/>
      <charset val="134"/>
      <scheme val="minor"/>
    </font>
    <font>
      <b/>
      <sz val="13"/>
      <color rgb="FFFFFFFF"/>
      <name val="Times New Roman"/>
      <charset val="134"/>
    </font>
    <font>
      <b/>
      <sz val="13"/>
      <color rgb="FFFFFFFF"/>
      <name val="&quot;Times New Roman&quot;"/>
      <charset val="134"/>
    </font>
    <font>
      <sz val="11"/>
      <color rgb="FF000000"/>
      <name val="&quot;Times New Roman&quot;"/>
      <charset val="134"/>
    </font>
    <font>
      <sz val="11"/>
      <color rgb="FFFFFFFF"/>
      <name val="&quot;Times New Roman&quot;"/>
      <charset val="134"/>
    </font>
    <font>
      <b/>
      <sz val="11"/>
      <color rgb="FFFFFFFF"/>
      <name val="Times New Roman"/>
      <charset val="134"/>
    </font>
    <font>
      <b/>
      <sz val="11"/>
      <color rgb="FF000000"/>
      <name val="Times New Roman"/>
      <charset val="1"/>
    </font>
    <font>
      <sz val="11"/>
      <color rgb="FF000000"/>
      <name val="Calibri"/>
      <charset val="1"/>
    </font>
    <font>
      <sz val="10"/>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134"/>
      <scheme val="minor"/>
    </font>
    <font>
      <sz val="18"/>
      <color theme="3"/>
      <name val="Calibri Light"/>
      <charset val="134"/>
      <scheme val="major"/>
    </font>
    <font>
      <i/>
      <sz val="11"/>
      <color rgb="FF7F7F7F"/>
      <name val="Calibri"/>
      <charset val="134"/>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134"/>
      <scheme val="minor"/>
    </font>
    <font>
      <b/>
      <sz val="11"/>
      <color rgb="FF3F3F3F"/>
      <name val="Calibri"/>
      <charset val="134"/>
      <scheme val="minor"/>
    </font>
    <font>
      <b/>
      <sz val="11"/>
      <color rgb="FFFA7D00"/>
      <name val="Calibri"/>
      <charset val="134"/>
      <scheme val="minor"/>
    </font>
    <font>
      <b/>
      <sz val="11"/>
      <color theme="0"/>
      <name val="Calibri"/>
      <charset val="134"/>
      <scheme val="minor"/>
    </font>
    <font>
      <sz val="11"/>
      <color rgb="FFFA7D00"/>
      <name val="Calibri"/>
      <charset val="134"/>
      <scheme val="minor"/>
    </font>
    <font>
      <b/>
      <sz val="11"/>
      <color theme="1"/>
      <name val="Calibri"/>
      <charset val="134"/>
      <scheme val="minor"/>
    </font>
    <font>
      <sz val="11"/>
      <color rgb="FF006100"/>
      <name val="Calibri"/>
      <charset val="134"/>
      <scheme val="minor"/>
    </font>
    <font>
      <sz val="11"/>
      <color rgb="FF9C0006"/>
      <name val="Calibri"/>
      <charset val="134"/>
      <scheme val="minor"/>
    </font>
    <font>
      <sz val="11"/>
      <color rgb="FF9C6500"/>
      <name val="Calibri"/>
      <charset val="134"/>
      <scheme val="minor"/>
    </font>
    <font>
      <sz val="11"/>
      <color theme="0"/>
      <name val="Calibri"/>
      <charset val="134"/>
      <scheme val="minor"/>
    </font>
    <font>
      <sz val="11"/>
      <name val="Calibri"/>
      <charset val="134"/>
      <scheme val="minor"/>
    </font>
    <font>
      <sz val="10"/>
      <name val="Arial"/>
      <charset val="134"/>
    </font>
    <font>
      <b/>
      <sz val="12"/>
      <color rgb="FF000000"/>
      <name val="Times New Roman"/>
      <charset val="134"/>
    </font>
    <font>
      <b/>
      <i/>
      <sz val="11"/>
      <color rgb="FF000000"/>
      <name val="Times New Roman"/>
      <charset val="1"/>
    </font>
    <font>
      <i/>
      <sz val="11"/>
      <color rgb="FF000000"/>
      <name val="Times New Roman"/>
      <charset val="1"/>
    </font>
    <font>
      <b/>
      <sz val="9"/>
      <name val="Segoe UI"/>
      <charset val="134"/>
    </font>
    <font>
      <sz val="9"/>
      <name val="Segoe UI"/>
      <charset val="134"/>
    </font>
    <font>
      <b/>
      <sz val="9"/>
      <name val="Segoe UI"/>
      <charset val="1"/>
    </font>
    <font>
      <sz val="9"/>
      <name val="Segoe UI"/>
      <charset val="1"/>
    </font>
    <font>
      <sz val="11"/>
      <color rgb="FF000000"/>
      <name val="Calibri"/>
      <charset val="0"/>
      <scheme val="minor"/>
    </font>
  </fonts>
  <fills count="55">
    <fill>
      <patternFill patternType="none"/>
    </fill>
    <fill>
      <patternFill patternType="gray125"/>
    </fill>
    <fill>
      <patternFill patternType="solid">
        <fgColor rgb="FFD9D9D9"/>
        <bgColor indexed="64"/>
      </patternFill>
    </fill>
    <fill>
      <patternFill patternType="solid">
        <fgColor rgb="FFFFFF00"/>
        <bgColor indexed="64"/>
      </patternFill>
    </fill>
    <fill>
      <patternFill patternType="solid">
        <fgColor rgb="FFF2F2F2"/>
        <bgColor indexed="64"/>
      </patternFill>
    </fill>
    <fill>
      <patternFill patternType="solid">
        <fgColor rgb="FFFFFFFF"/>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0"/>
        <bgColor indexed="64"/>
      </patternFill>
    </fill>
    <fill>
      <patternFill patternType="solid">
        <fgColor theme="4" tint="0.399975585192419"/>
        <bgColor indexed="41"/>
      </patternFill>
    </fill>
    <fill>
      <patternFill patternType="solid">
        <fgColor theme="4" tint="0.399975585192419"/>
        <bgColor indexed="26"/>
      </patternFill>
    </fill>
    <fill>
      <patternFill patternType="solid">
        <fgColor rgb="FFFF6600"/>
        <bgColor rgb="FFFF6600"/>
      </patternFill>
    </fill>
    <fill>
      <patternFill patternType="solid">
        <fgColor rgb="FFFFFFFF"/>
        <bgColor rgb="FFFFFFFF"/>
      </patternFill>
    </fill>
    <fill>
      <patternFill patternType="solid">
        <fgColor rgb="FFE26B0A"/>
        <bgColor rgb="FFFFFFFF"/>
      </patternFill>
    </fill>
    <fill>
      <patternFill patternType="solid">
        <fgColor rgb="FFEBF1DE"/>
        <bgColor indexed="64"/>
      </patternFill>
    </fill>
    <fill>
      <patternFill patternType="solid">
        <fgColor rgb="FFEBF1DE"/>
        <bgColor rgb="FFFFFFFF"/>
      </patternFill>
    </fill>
    <fill>
      <patternFill patternType="solid">
        <fgColor rgb="FF000000"/>
        <bgColor rgb="FF000000"/>
      </patternFill>
    </fill>
    <fill>
      <patternFill patternType="solid">
        <fgColor rgb="FF00B0F0"/>
        <bgColor rgb="FF00B0F0"/>
      </patternFill>
    </fill>
    <fill>
      <patternFill patternType="solid">
        <fgColor rgb="FFD9D9D9"/>
        <bgColor rgb="FFFFFFFF"/>
      </patternFill>
    </fill>
    <fill>
      <patternFill patternType="solid">
        <fgColor rgb="FFC4D79B"/>
        <bgColor rgb="FFFFFFFF"/>
      </patternFill>
    </fill>
    <fill>
      <patternFill patternType="solid">
        <fgColor rgb="FFB7DEE8"/>
        <bgColor rgb="FFFFFFFF"/>
      </patternFill>
    </fill>
    <fill>
      <patternFill patternType="solid">
        <fgColor rgb="FF00B0F0"/>
        <bgColor indexed="64"/>
      </patternFill>
    </fill>
    <fill>
      <patternFill patternType="solid">
        <fgColor rgb="FF666666"/>
        <bgColor rgb="FF666666"/>
      </patternFill>
    </fill>
    <fill>
      <patternFill patternType="solid">
        <fgColor rgb="FF80808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9">
    <border>
      <left/>
      <right/>
      <top/>
      <bottom/>
      <diagonal/>
    </border>
    <border>
      <left/>
      <right/>
      <top/>
      <bottom style="double">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medium">
        <color auto="1"/>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auto="1"/>
      </right>
      <top/>
      <bottom style="thin">
        <color auto="1"/>
      </bottom>
      <diagonal/>
    </border>
    <border>
      <left style="thin">
        <color auto="1"/>
      </left>
      <right style="medium">
        <color rgb="FF000000"/>
      </right>
      <top/>
      <bottom style="thin">
        <color auto="1"/>
      </bottom>
      <diagonal/>
    </border>
    <border>
      <left style="medium">
        <color rgb="FF000000"/>
      </left>
      <right style="thin">
        <color auto="1"/>
      </right>
      <top style="thin">
        <color auto="1"/>
      </top>
      <bottom/>
      <diagonal/>
    </border>
    <border>
      <left style="thin">
        <color auto="1"/>
      </left>
      <right style="medium">
        <color rgb="FF000000"/>
      </right>
      <top style="thin">
        <color auto="1"/>
      </top>
      <bottom/>
      <diagonal/>
    </border>
    <border>
      <left style="medium">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auto="1"/>
      </right>
      <top/>
      <bottom/>
      <diagonal/>
    </border>
    <border>
      <left style="thin">
        <color auto="1"/>
      </left>
      <right style="medium">
        <color rgb="FF000000"/>
      </right>
      <top/>
      <bottom/>
      <diagonal/>
    </border>
    <border>
      <left style="medium">
        <color rgb="FF000000"/>
      </left>
      <right style="thin">
        <color auto="1"/>
      </right>
      <top style="medium">
        <color auto="1"/>
      </top>
      <bottom style="thin">
        <color auto="1"/>
      </bottom>
      <diagonal/>
    </border>
    <border>
      <left style="thin">
        <color auto="1"/>
      </left>
      <right style="medium">
        <color rgb="FF000000"/>
      </right>
      <top style="medium">
        <color auto="1"/>
      </top>
      <bottom style="thin">
        <color auto="1"/>
      </bottom>
      <diagonal/>
    </border>
    <border>
      <left style="medium">
        <color rgb="FF000000"/>
      </left>
      <right style="thin">
        <color auto="1"/>
      </right>
      <top style="thin">
        <color rgb="FF000000"/>
      </top>
      <bottom style="medium">
        <color rgb="FF000000"/>
      </bottom>
      <diagonal/>
    </border>
    <border>
      <left style="thin">
        <color auto="1"/>
      </left>
      <right style="thin">
        <color auto="1"/>
      </right>
      <top style="thin">
        <color rgb="FF000000"/>
      </top>
      <bottom style="medium">
        <color rgb="FF000000"/>
      </bottom>
      <diagonal/>
    </border>
    <border>
      <left style="thin">
        <color auto="1"/>
      </left>
      <right style="medium">
        <color rgb="FF000000"/>
      </right>
      <top style="thin">
        <color rgb="FF000000"/>
      </top>
      <bottom style="medium">
        <color rgb="FF000000"/>
      </bottom>
      <diagonal/>
    </border>
    <border>
      <left style="thin">
        <color rgb="FF000000"/>
      </left>
      <right style="thin">
        <color auto="1"/>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auto="1"/>
      </left>
      <right/>
      <top/>
      <bottom/>
      <diagonal/>
    </border>
    <border>
      <left style="medium">
        <color auto="1"/>
      </left>
      <right style="medium">
        <color auto="1"/>
      </right>
      <top style="medium">
        <color auto="1"/>
      </top>
      <bottom/>
      <diagonal/>
    </border>
    <border>
      <left style="thin">
        <color rgb="FF000000"/>
      </left>
      <right style="thin">
        <color rgb="FF000000"/>
      </right>
      <top style="medium">
        <color rgb="FF000000"/>
      </top>
      <bottom style="thin">
        <color rgb="FF000000"/>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top/>
      <bottom style="medium">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top/>
      <bottom/>
      <diagonal/>
    </border>
    <border>
      <left/>
      <right style="medium">
        <color rgb="FF000000"/>
      </right>
      <top/>
      <bottom/>
      <diagonal/>
    </border>
    <border>
      <left style="thin">
        <color rgb="FF000000"/>
      </left>
      <right/>
      <top style="thin">
        <color rgb="FF000000"/>
      </top>
      <bottom style="medium">
        <color rgb="FF000000"/>
      </bottom>
      <diagonal/>
    </border>
    <border>
      <left/>
      <right style="medium">
        <color rgb="FF000000"/>
      </right>
      <top/>
      <bottom style="medium">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theme="0"/>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xf numFmtId="176" fontId="0" fillId="0" borderId="0" applyFont="0" applyFill="0" applyBorder="0" applyAlignment="0" applyProtection="0"/>
    <xf numFmtId="177" fontId="33" fillId="0" borderId="0" applyFont="0" applyFill="0" applyBorder="0" applyAlignment="0" applyProtection="0">
      <alignment vertical="center"/>
    </xf>
    <xf numFmtId="9" fontId="0" fillId="0" borderId="0" applyFont="0" applyFill="0" applyBorder="0" applyAlignment="0" applyProtection="0"/>
    <xf numFmtId="178" fontId="33" fillId="0" borderId="0" applyFont="0" applyFill="0" applyBorder="0" applyAlignment="0" applyProtection="0">
      <alignment vertical="center"/>
    </xf>
    <xf numFmtId="179" fontId="33" fillId="0" borderId="0" applyFon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0" fillId="30" borderId="110" applyNumberFormat="0" applyFont="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9" fillId="0" borderId="111" applyNumberFormat="0" applyFill="0" applyAlignment="0" applyProtection="0"/>
    <xf numFmtId="0" fontId="40" fillId="0" borderId="112" applyNumberFormat="0" applyFill="0" applyAlignment="0" applyProtection="0"/>
    <xf numFmtId="0" fontId="41" fillId="0" borderId="113" applyNumberFormat="0" applyFill="0" applyAlignment="0" applyProtection="0"/>
    <xf numFmtId="0" fontId="41" fillId="0" borderId="0" applyNumberFormat="0" applyFill="0" applyBorder="0" applyAlignment="0" applyProtection="0"/>
    <xf numFmtId="0" fontId="42" fillId="31" borderId="114" applyNumberFormat="0" applyAlignment="0" applyProtection="0"/>
    <xf numFmtId="0" fontId="43" fillId="4" borderId="115" applyNumberFormat="0" applyAlignment="0" applyProtection="0"/>
    <xf numFmtId="0" fontId="44" fillId="4" borderId="114" applyNumberFormat="0" applyAlignment="0" applyProtection="0"/>
    <xf numFmtId="0" fontId="45" fillId="32" borderId="116" applyNumberFormat="0" applyAlignment="0" applyProtection="0"/>
    <xf numFmtId="0" fontId="46" fillId="0" borderId="117" applyNumberFormat="0" applyFill="0" applyAlignment="0" applyProtection="0"/>
    <xf numFmtId="0" fontId="47" fillId="0" borderId="118" applyNumberFormat="0" applyFill="0" applyAlignment="0" applyProtection="0"/>
    <xf numFmtId="0" fontId="48" fillId="33" borderId="0" applyNumberFormat="0" applyBorder="0" applyAlignment="0" applyProtection="0"/>
    <xf numFmtId="0" fontId="49" fillId="34" borderId="0" applyNumberFormat="0" applyBorder="0" applyAlignment="0" applyProtection="0"/>
    <xf numFmtId="0" fontId="50" fillId="35" borderId="0" applyNumberFormat="0" applyBorder="0" applyAlignment="0" applyProtection="0"/>
    <xf numFmtId="0" fontId="51" fillId="36" borderId="0" applyNumberFormat="0" applyBorder="0" applyAlignment="0" applyProtection="0"/>
    <xf numFmtId="0" fontId="0" fillId="9" borderId="0" applyNumberFormat="0" applyBorder="0" applyAlignment="0" applyProtection="0"/>
    <xf numFmtId="0" fontId="0" fillId="12" borderId="0" applyNumberFormat="0" applyBorder="0" applyAlignment="0" applyProtection="0"/>
    <xf numFmtId="0" fontId="51" fillId="8" borderId="0" applyNumberFormat="0" applyBorder="0" applyAlignment="0" applyProtection="0"/>
    <xf numFmtId="0" fontId="51" fillId="37" borderId="0" applyNumberFormat="0" applyBorder="0" applyAlignment="0" applyProtection="0"/>
    <xf numFmtId="0" fontId="0" fillId="38" borderId="0" applyNumberFormat="0" applyBorder="0" applyAlignment="0" applyProtection="0"/>
    <xf numFmtId="0" fontId="0" fillId="10" borderId="0" applyNumberFormat="0" applyBorder="0" applyAlignment="0" applyProtection="0"/>
    <xf numFmtId="0" fontId="51" fillId="13" borderId="0" applyNumberFormat="0" applyBorder="0" applyAlignment="0" applyProtection="0"/>
    <xf numFmtId="0" fontId="51" fillId="39" borderId="0" applyNumberFormat="0" applyBorder="0" applyAlignment="0" applyProtection="0"/>
    <xf numFmtId="0" fontId="0" fillId="40" borderId="0" applyNumberFormat="0" applyBorder="0" applyAlignment="0" applyProtection="0"/>
    <xf numFmtId="0" fontId="0" fillId="41" borderId="0" applyNumberFormat="0" applyBorder="0" applyAlignment="0" applyProtection="0"/>
    <xf numFmtId="0" fontId="51" fillId="42" borderId="0" applyNumberFormat="0" applyBorder="0" applyAlignment="0" applyProtection="0"/>
    <xf numFmtId="0" fontId="51" fillId="43" borderId="0" applyNumberFormat="0" applyBorder="0" applyAlignment="0" applyProtection="0"/>
    <xf numFmtId="0" fontId="0" fillId="44" borderId="0" applyNumberFormat="0" applyBorder="0" applyAlignment="0" applyProtection="0"/>
    <xf numFmtId="0" fontId="0" fillId="45" borderId="0" applyNumberFormat="0" applyBorder="0" applyAlignment="0" applyProtection="0"/>
    <xf numFmtId="0" fontId="51" fillId="46" borderId="0" applyNumberFormat="0" applyBorder="0" applyAlignment="0" applyProtection="0"/>
    <xf numFmtId="0" fontId="51" fillId="47" borderId="0" applyNumberFormat="0" applyBorder="0" applyAlignment="0" applyProtection="0"/>
    <xf numFmtId="0" fontId="0" fillId="48" borderId="0" applyNumberFormat="0" applyBorder="0" applyAlignment="0" applyProtection="0"/>
    <xf numFmtId="0" fontId="0" fillId="49" borderId="0" applyNumberFormat="0" applyBorder="0" applyAlignment="0" applyProtection="0"/>
    <xf numFmtId="0" fontId="51" fillId="50" borderId="0" applyNumberFormat="0" applyBorder="0" applyAlignment="0" applyProtection="0"/>
    <xf numFmtId="0" fontId="51" fillId="51" borderId="0" applyNumberFormat="0" applyBorder="0" applyAlignment="0" applyProtection="0"/>
    <xf numFmtId="0" fontId="0" fillId="52" borderId="0" applyNumberFormat="0" applyBorder="0" applyAlignment="0" applyProtection="0"/>
    <xf numFmtId="0" fontId="0" fillId="53" borderId="0" applyNumberFormat="0" applyBorder="0" applyAlignment="0" applyProtection="0"/>
    <xf numFmtId="0" fontId="51" fillId="54" borderId="0" applyNumberFormat="0" applyBorder="0" applyAlignment="0" applyProtection="0"/>
    <xf numFmtId="0" fontId="52" fillId="0" borderId="0"/>
    <xf numFmtId="180" fontId="53" fillId="0" borderId="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cellStyleXfs>
  <cellXfs count="546">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2" fillId="0" borderId="1" xfId="0" applyFont="1" applyBorder="1" applyAlignment="1"/>
    <xf numFmtId="0" fontId="2" fillId="2" borderId="2" xfId="0" applyFont="1" applyFill="1" applyBorder="1" applyAlignment="1">
      <alignment wrapText="1"/>
    </xf>
    <xf numFmtId="0" fontId="2" fillId="2" borderId="3" xfId="0" applyFont="1" applyFill="1" applyBorder="1" applyAlignment="1">
      <alignment wrapText="1"/>
    </xf>
    <xf numFmtId="0" fontId="2" fillId="2" borderId="4" xfId="0" applyFont="1" applyFill="1" applyBorder="1" applyAlignment="1">
      <alignment wrapText="1"/>
    </xf>
    <xf numFmtId="0" fontId="2" fillId="2" borderId="5" xfId="0" applyFont="1" applyFill="1" applyBorder="1" applyAlignment="1">
      <alignment wrapText="1"/>
    </xf>
    <xf numFmtId="0" fontId="1" fillId="0" borderId="6" xfId="0" applyFont="1" applyBorder="1" applyAlignment="1">
      <alignment wrapText="1"/>
    </xf>
    <xf numFmtId="0" fontId="1" fillId="0" borderId="2" xfId="0" applyFont="1" applyBorder="1" applyAlignment="1">
      <alignment wrapText="1"/>
    </xf>
    <xf numFmtId="0" fontId="1" fillId="0" borderId="3" xfId="0" applyFont="1" applyBorder="1" applyAlignment="1"/>
    <xf numFmtId="0" fontId="1" fillId="0" borderId="4" xfId="0" applyFont="1" applyBorder="1" applyAlignment="1"/>
    <xf numFmtId="0" fontId="1" fillId="0" borderId="5" xfId="0" applyFont="1" applyBorder="1" applyAlignment="1"/>
    <xf numFmtId="0" fontId="1" fillId="0" borderId="2" xfId="0" applyFont="1" applyBorder="1"/>
    <xf numFmtId="0" fontId="1" fillId="0" borderId="7" xfId="0" applyFont="1" applyBorder="1" applyAlignment="1">
      <alignment wrapText="1"/>
    </xf>
    <xf numFmtId="0" fontId="1" fillId="3" borderId="2" xfId="0" applyFont="1" applyFill="1" applyBorder="1" applyAlignment="1">
      <alignment wrapText="1"/>
    </xf>
    <xf numFmtId="0" fontId="1" fillId="3" borderId="3" xfId="0" applyFont="1" applyFill="1" applyBorder="1" applyAlignment="1"/>
    <xf numFmtId="0" fontId="1" fillId="3" borderId="4" xfId="0" applyFont="1" applyFill="1" applyBorder="1" applyAlignment="1"/>
    <xf numFmtId="0" fontId="1" fillId="3" borderId="5" xfId="0" applyFont="1" applyFill="1" applyBorder="1" applyAlignment="1"/>
    <xf numFmtId="0" fontId="1" fillId="3" borderId="2" xfId="0" applyFont="1" applyFill="1" applyBorder="1"/>
    <xf numFmtId="0" fontId="1" fillId="0" borderId="8" xfId="0" applyFont="1" applyBorder="1" applyAlignment="1">
      <alignment wrapText="1"/>
    </xf>
    <xf numFmtId="0" fontId="2" fillId="2" borderId="3" xfId="0" applyFont="1" applyFill="1" applyBorder="1" applyAlignment="1"/>
    <xf numFmtId="0" fontId="2" fillId="2" borderId="4" xfId="0" applyFont="1" applyFill="1" applyBorder="1" applyAlignment="1"/>
    <xf numFmtId="0" fontId="2" fillId="2" borderId="5" xfId="0" applyFont="1" applyFill="1" applyBorder="1" applyAlignment="1"/>
    <xf numFmtId="0" fontId="2" fillId="2" borderId="2" xfId="0" applyFont="1" applyFill="1" applyBorder="1"/>
    <xf numFmtId="0" fontId="3" fillId="0" borderId="0" xfId="0" applyFont="1"/>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4" fillId="2" borderId="2" xfId="0" applyFont="1" applyFill="1" applyBorder="1" applyAlignment="1">
      <alignment horizontal="center" vertical="center"/>
    </xf>
    <xf numFmtId="0" fontId="1" fillId="3" borderId="6" xfId="0" applyFont="1" applyFill="1" applyBorder="1" applyAlignment="1">
      <alignment wrapText="1"/>
    </xf>
    <xf numFmtId="0" fontId="1" fillId="4" borderId="6" xfId="0" applyFont="1" applyFill="1" applyBorder="1" applyAlignment="1">
      <alignment wrapText="1"/>
    </xf>
    <xf numFmtId="0" fontId="1" fillId="4" borderId="3" xfId="0" applyFont="1" applyFill="1" applyBorder="1" applyAlignment="1"/>
    <xf numFmtId="0" fontId="1" fillId="4" borderId="4" xfId="0" applyFont="1" applyFill="1" applyBorder="1" applyAlignment="1"/>
    <xf numFmtId="0" fontId="1" fillId="4" borderId="5" xfId="0" applyFont="1" applyFill="1" applyBorder="1" applyAlignment="1"/>
    <xf numFmtId="176" fontId="1" fillId="4" borderId="2" xfId="0" applyNumberFormat="1" applyFont="1" applyFill="1" applyBorder="1"/>
    <xf numFmtId="0" fontId="1" fillId="4" borderId="2" xfId="0" applyFont="1" applyFill="1" applyBorder="1"/>
    <xf numFmtId="176" fontId="3" fillId="4" borderId="2" xfId="0" applyNumberFormat="1" applyFont="1" applyFill="1" applyBorder="1"/>
    <xf numFmtId="0" fontId="1" fillId="3" borderId="7" xfId="0" applyFont="1" applyFill="1" applyBorder="1" applyAlignment="1">
      <alignment wrapText="1"/>
    </xf>
    <xf numFmtId="176" fontId="1" fillId="3" borderId="2" xfId="0" applyNumberFormat="1" applyFont="1" applyFill="1" applyBorder="1"/>
    <xf numFmtId="176" fontId="3" fillId="3" borderId="2" xfId="0" applyNumberFormat="1" applyFont="1" applyFill="1" applyBorder="1"/>
    <xf numFmtId="176" fontId="3" fillId="3" borderId="2" xfId="0" applyNumberFormat="1" applyFont="1" applyFill="1" applyBorder="1" applyAlignment="1">
      <alignment wrapText="1"/>
    </xf>
    <xf numFmtId="0" fontId="1" fillId="3" borderId="9" xfId="0" applyFont="1" applyFill="1" applyBorder="1" applyAlignment="1"/>
    <xf numFmtId="0" fontId="1" fillId="3" borderId="10" xfId="0" applyFont="1" applyFill="1" applyBorder="1" applyAlignment="1"/>
    <xf numFmtId="0" fontId="1" fillId="3" borderId="11" xfId="0" applyFont="1" applyFill="1" applyBorder="1" applyAlignment="1"/>
    <xf numFmtId="0" fontId="1" fillId="4" borderId="9" xfId="0" applyFont="1" applyFill="1" applyBorder="1" applyAlignment="1"/>
    <xf numFmtId="0" fontId="1" fillId="4" borderId="10" xfId="0" applyFont="1" applyFill="1" applyBorder="1" applyAlignment="1"/>
    <xf numFmtId="0" fontId="1" fillId="4" borderId="11" xfId="0" applyFont="1" applyFill="1" applyBorder="1" applyAlignment="1"/>
    <xf numFmtId="0" fontId="1" fillId="5" borderId="6" xfId="0" applyFont="1" applyFill="1" applyBorder="1" applyAlignment="1">
      <alignment wrapText="1"/>
    </xf>
    <xf numFmtId="0" fontId="1" fillId="5" borderId="9" xfId="0" applyFont="1" applyFill="1" applyBorder="1" applyAlignment="1"/>
    <xf numFmtId="0" fontId="1" fillId="5" borderId="10" xfId="0" applyFont="1" applyFill="1" applyBorder="1" applyAlignment="1"/>
    <xf numFmtId="0" fontId="1" fillId="5" borderId="11" xfId="0" applyFont="1" applyFill="1" applyBorder="1" applyAlignment="1"/>
    <xf numFmtId="0" fontId="1" fillId="5" borderId="2" xfId="0" applyFont="1" applyFill="1" applyBorder="1"/>
    <xf numFmtId="0" fontId="4" fillId="2" borderId="2" xfId="0" applyFont="1" applyFill="1" applyBorder="1"/>
    <xf numFmtId="0" fontId="1" fillId="4" borderId="6" xfId="0" applyFont="1" applyFill="1" applyBorder="1"/>
    <xf numFmtId="2" fontId="3" fillId="4" borderId="2" xfId="0" applyNumberFormat="1" applyFont="1" applyFill="1" applyBorder="1"/>
    <xf numFmtId="0" fontId="1" fillId="3" borderId="6" xfId="0" applyFont="1" applyFill="1" applyBorder="1"/>
    <xf numFmtId="0" fontId="1" fillId="5" borderId="2" xfId="0" applyFont="1" applyFill="1" applyBorder="1" applyAlignment="1">
      <alignment wrapText="1"/>
    </xf>
    <xf numFmtId="176" fontId="3" fillId="5" borderId="2" xfId="0" applyNumberFormat="1" applyFont="1" applyFill="1" applyBorder="1"/>
    <xf numFmtId="0" fontId="5" fillId="0" borderId="0" xfId="0" applyFont="1"/>
    <xf numFmtId="0" fontId="6" fillId="6" borderId="0" xfId="0" applyFont="1" applyFill="1" applyAlignment="1">
      <alignment horizontal="center" vertical="center" wrapText="1"/>
    </xf>
    <xf numFmtId="0" fontId="7" fillId="7" borderId="0" xfId="0" applyFont="1" applyFill="1" applyAlignment="1">
      <alignment horizontal="center"/>
    </xf>
    <xf numFmtId="0" fontId="8" fillId="0" borderId="0" xfId="0" applyFont="1" applyAlignment="1">
      <alignment horizontal="center"/>
    </xf>
    <xf numFmtId="0" fontId="9" fillId="8" borderId="0" xfId="0" applyFont="1" applyFill="1" applyAlignment="1">
      <alignment horizontal="center" vertical="center"/>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vertical="center" wrapText="1"/>
    </xf>
    <xf numFmtId="4" fontId="5" fillId="0" borderId="15" xfId="0" applyNumberFormat="1"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vertical="center"/>
    </xf>
    <xf numFmtId="0" fontId="9" fillId="9" borderId="0" xfId="0" applyFont="1" applyFill="1" applyAlignment="1">
      <alignment horizontal="center" vertical="center"/>
    </xf>
    <xf numFmtId="2" fontId="5" fillId="0" borderId="15" xfId="0" applyNumberFormat="1" applyFont="1" applyBorder="1" applyAlignment="1">
      <alignment horizontal="center" vertical="center" wrapText="1"/>
    </xf>
    <xf numFmtId="0" fontId="9" fillId="9" borderId="0" xfId="0" applyFont="1" applyFill="1" applyAlignment="1">
      <alignment horizontal="center" vertical="center" wrapText="1"/>
    </xf>
    <xf numFmtId="10" fontId="5" fillId="0" borderId="15" xfId="0" applyNumberFormat="1" applyFont="1" applyBorder="1" applyAlignment="1">
      <alignment horizontal="center" vertical="center" wrapText="1"/>
    </xf>
    <xf numFmtId="9" fontId="5" fillId="10" borderId="15" xfId="0" applyNumberFormat="1"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Alignment="1">
      <alignment vertical="center"/>
    </xf>
    <xf numFmtId="0" fontId="5" fillId="0" borderId="15" xfId="0" applyFont="1" applyBorder="1" applyAlignment="1">
      <alignment horizontal="justify" vertical="center" wrapText="1"/>
    </xf>
    <xf numFmtId="0" fontId="5" fillId="0" borderId="16" xfId="0" applyFont="1" applyBorder="1" applyAlignment="1">
      <alignment horizontal="left" vertical="center" wrapText="1"/>
    </xf>
    <xf numFmtId="0" fontId="5" fillId="0" borderId="13" xfId="0" applyFont="1" applyBorder="1" applyAlignment="1">
      <alignment horizontal="left" vertical="center" wrapText="1"/>
    </xf>
    <xf numFmtId="0" fontId="9" fillId="0" borderId="13" xfId="0" applyFont="1" applyBorder="1" applyAlignment="1">
      <alignment vertical="center" wrapText="1"/>
    </xf>
    <xf numFmtId="9" fontId="5" fillId="0" borderId="15" xfId="0" applyNumberFormat="1" applyFont="1" applyBorder="1" applyAlignment="1">
      <alignment horizontal="center" vertical="center" wrapText="1"/>
    </xf>
    <xf numFmtId="0" fontId="9" fillId="0" borderId="14" xfId="0" applyFont="1" applyBorder="1" applyAlignment="1">
      <alignment horizontal="center" vertical="center" wrapText="1"/>
    </xf>
    <xf numFmtId="2" fontId="5" fillId="0" borderId="15" xfId="0" applyNumberFormat="1" applyFont="1" applyBorder="1" applyAlignment="1">
      <alignment vertical="center" wrapText="1"/>
    </xf>
    <xf numFmtId="0" fontId="10" fillId="0" borderId="0" xfId="0" applyFont="1" applyFill="1" applyAlignment="1"/>
    <xf numFmtId="0" fontId="11" fillId="7" borderId="0" xfId="0" applyFont="1" applyFill="1" applyAlignment="1">
      <alignment horizontal="center"/>
    </xf>
    <xf numFmtId="0" fontId="12" fillId="11" borderId="2" xfId="0" applyFont="1" applyFill="1" applyBorder="1" applyAlignment="1">
      <alignment horizontal="left" vertical="center" wrapText="1"/>
    </xf>
    <xf numFmtId="0" fontId="12" fillId="11" borderId="2" xfId="0" applyFont="1" applyFill="1" applyBorder="1" applyAlignment="1">
      <alignment horizontal="center" vertical="center" wrapText="1"/>
    </xf>
    <xf numFmtId="0" fontId="12" fillId="11" borderId="6" xfId="0" applyFont="1" applyFill="1" applyBorder="1" applyAlignment="1">
      <alignment horizontal="center" vertical="center" wrapText="1"/>
    </xf>
    <xf numFmtId="0" fontId="13" fillId="0" borderId="8" xfId="0" applyFont="1" applyFill="1" applyBorder="1" applyAlignment="1">
      <alignment horizontal="center" vertical="center"/>
    </xf>
    <xf numFmtId="0" fontId="13" fillId="0" borderId="8" xfId="0" applyFont="1" applyFill="1" applyBorder="1" applyAlignment="1">
      <alignment horizontal="center" vertical="center" wrapText="1"/>
    </xf>
    <xf numFmtId="0" fontId="13" fillId="0" borderId="17"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0" applyFont="1" applyFill="1" applyBorder="1" applyAlignment="1">
      <alignment wrapText="1"/>
    </xf>
    <xf numFmtId="0" fontId="13" fillId="0" borderId="2" xfId="0" applyFont="1" applyFill="1" applyBorder="1" applyAlignment="1"/>
    <xf numFmtId="0" fontId="13" fillId="0" borderId="3" xfId="0" applyFont="1" applyFill="1" applyBorder="1" applyAlignment="1"/>
    <xf numFmtId="0" fontId="10" fillId="0" borderId="8" xfId="0" applyFont="1" applyFill="1" applyBorder="1" applyAlignment="1"/>
    <xf numFmtId="0" fontId="10" fillId="0" borderId="2" xfId="0" applyFont="1" applyFill="1" applyBorder="1" applyAlignment="1"/>
    <xf numFmtId="0" fontId="14" fillId="0" borderId="6" xfId="0" applyFont="1" applyFill="1" applyBorder="1" applyAlignment="1">
      <alignment wrapText="1"/>
    </xf>
    <xf numFmtId="0" fontId="14" fillId="0" borderId="6" xfId="0" applyFont="1" applyFill="1" applyBorder="1" applyAlignment="1"/>
    <xf numFmtId="0" fontId="14" fillId="0" borderId="9" xfId="0" applyFont="1" applyFill="1" applyBorder="1" applyAlignment="1"/>
    <xf numFmtId="0" fontId="14" fillId="0" borderId="6" xfId="0" applyFont="1" applyFill="1" applyBorder="1" applyAlignment="1">
      <alignment horizontal="center" vertical="center"/>
    </xf>
    <xf numFmtId="0" fontId="13" fillId="0" borderId="6" xfId="0" applyFont="1" applyFill="1" applyBorder="1" applyAlignment="1">
      <alignment wrapText="1"/>
    </xf>
    <xf numFmtId="0" fontId="13" fillId="0" borderId="6" xfId="0" applyFont="1" applyFill="1" applyBorder="1" applyAlignment="1"/>
    <xf numFmtId="0" fontId="13" fillId="0" borderId="9" xfId="0" applyFont="1" applyFill="1" applyBorder="1" applyAlignment="1"/>
    <xf numFmtId="0" fontId="10" fillId="0" borderId="0" xfId="0" applyFont="1" applyFill="1" applyAlignment="1">
      <alignment horizontal="center" vertical="center"/>
    </xf>
    <xf numFmtId="0" fontId="12" fillId="11" borderId="3" xfId="0" applyFont="1" applyFill="1" applyBorder="1" applyAlignment="1">
      <alignment horizontal="right" vertical="center" wrapText="1"/>
    </xf>
    <xf numFmtId="0" fontId="12" fillId="11" borderId="4" xfId="0" applyFont="1" applyFill="1" applyBorder="1" applyAlignment="1">
      <alignment horizontal="right" vertical="center" wrapText="1"/>
    </xf>
    <xf numFmtId="0" fontId="15" fillId="0" borderId="0" xfId="0" applyFont="1" applyFill="1" applyAlignment="1">
      <alignment wrapText="1"/>
    </xf>
    <xf numFmtId="0" fontId="10" fillId="0" borderId="0" xfId="0" applyFont="1" applyFill="1" applyAlignment="1">
      <alignment wrapText="1"/>
    </xf>
    <xf numFmtId="0" fontId="13" fillId="0" borderId="8" xfId="0" applyFont="1" applyFill="1" applyBorder="1" applyAlignment="1"/>
    <xf numFmtId="0" fontId="13" fillId="0" borderId="18" xfId="0" applyFont="1" applyFill="1" applyBorder="1" applyAlignment="1">
      <alignment wrapText="1"/>
    </xf>
    <xf numFmtId="0" fontId="13" fillId="0" borderId="18" xfId="0" applyFont="1" applyFill="1" applyBorder="1" applyAlignment="1"/>
    <xf numFmtId="0" fontId="14" fillId="0" borderId="8" xfId="0" applyFont="1" applyFill="1" applyBorder="1" applyAlignment="1"/>
    <xf numFmtId="0" fontId="14" fillId="0" borderId="18" xfId="0" applyFont="1" applyFill="1" applyBorder="1" applyAlignment="1"/>
    <xf numFmtId="0" fontId="14" fillId="0" borderId="18" xfId="0" applyFont="1" applyFill="1" applyBorder="1" applyAlignment="1">
      <alignment wrapText="1"/>
    </xf>
    <xf numFmtId="3" fontId="13" fillId="0" borderId="18" xfId="0" applyNumberFormat="1" applyFont="1" applyFill="1" applyBorder="1" applyAlignment="1"/>
    <xf numFmtId="0" fontId="14" fillId="0" borderId="7" xfId="0" applyFont="1" applyFill="1" applyBorder="1" applyAlignment="1"/>
    <xf numFmtId="0" fontId="14" fillId="0" borderId="19" xfId="0" applyFont="1" applyFill="1" applyBorder="1" applyAlignment="1">
      <alignment wrapText="1"/>
    </xf>
    <xf numFmtId="0" fontId="14" fillId="0" borderId="19" xfId="0" applyFont="1" applyFill="1" applyBorder="1" applyAlignment="1"/>
    <xf numFmtId="0" fontId="14" fillId="0" borderId="2" xfId="0" applyFont="1" applyFill="1" applyBorder="1" applyAlignment="1"/>
    <xf numFmtId="0" fontId="14" fillId="0" borderId="2" xfId="0" applyFont="1" applyFill="1" applyBorder="1" applyAlignment="1">
      <alignment wrapText="1"/>
    </xf>
    <xf numFmtId="3" fontId="13" fillId="0" borderId="2" xfId="0" applyNumberFormat="1" applyFont="1" applyFill="1" applyBorder="1" applyAlignment="1"/>
    <xf numFmtId="0" fontId="16" fillId="0" borderId="0" xfId="0" applyFont="1" applyFill="1" applyAlignment="1">
      <alignment wrapText="1"/>
    </xf>
    <xf numFmtId="0" fontId="10" fillId="0" borderId="6" xfId="0" applyFont="1" applyFill="1" applyBorder="1" applyAlignment="1"/>
    <xf numFmtId="0" fontId="5" fillId="0" borderId="0" xfId="0" applyFont="1" applyAlignment="1">
      <alignment horizontal="center" vertical="center" wrapText="1"/>
    </xf>
    <xf numFmtId="0" fontId="5" fillId="0" borderId="0" xfId="0" applyFont="1" applyAlignment="1">
      <alignment horizontal="center" vertical="center"/>
    </xf>
    <xf numFmtId="0" fontId="17" fillId="6" borderId="0" xfId="0" applyFont="1" applyFill="1" applyAlignment="1">
      <alignment horizontal="center" vertical="center" wrapText="1"/>
    </xf>
    <xf numFmtId="0" fontId="17" fillId="6" borderId="0" xfId="0" applyFont="1" applyFill="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center" vertical="center" wrapText="1"/>
    </xf>
    <xf numFmtId="0" fontId="9" fillId="0" borderId="0" xfId="0" applyFont="1" applyAlignment="1">
      <alignment horizontal="center" vertical="center"/>
    </xf>
    <xf numFmtId="0" fontId="9" fillId="7" borderId="0" xfId="0" applyFont="1" applyFill="1" applyAlignment="1">
      <alignment horizontal="center" vertical="center"/>
    </xf>
    <xf numFmtId="0" fontId="9" fillId="8" borderId="20" xfId="0" applyFont="1" applyFill="1" applyBorder="1" applyAlignment="1">
      <alignment horizontal="center" vertical="center" wrapText="1"/>
    </xf>
    <xf numFmtId="0" fontId="9" fillId="8" borderId="0" xfId="0" applyFont="1" applyFill="1" applyAlignment="1">
      <alignment horizontal="center" vertical="center" wrapText="1"/>
    </xf>
    <xf numFmtId="0" fontId="9" fillId="8" borderId="21" xfId="0" applyFont="1" applyFill="1" applyBorder="1" applyAlignment="1">
      <alignment horizontal="center" vertical="center"/>
    </xf>
    <xf numFmtId="0" fontId="9" fillId="8" borderId="22" xfId="0" applyFont="1" applyFill="1" applyBorder="1" applyAlignment="1">
      <alignment horizontal="center" vertical="center"/>
    </xf>
    <xf numFmtId="0" fontId="5" fillId="0" borderId="23" xfId="0" applyFont="1" applyBorder="1" applyAlignment="1">
      <alignment horizontal="center" vertical="center"/>
    </xf>
    <xf numFmtId="181" fontId="9" fillId="0" borderId="24" xfId="0" applyNumberFormat="1" applyFont="1" applyBorder="1" applyAlignment="1">
      <alignment horizontal="center" vertical="center"/>
    </xf>
    <xf numFmtId="0" fontId="5" fillId="0" borderId="25" xfId="0" applyFont="1" applyBorder="1" applyAlignment="1">
      <alignment horizontal="center" vertical="center"/>
    </xf>
    <xf numFmtId="181" fontId="9" fillId="0" borderId="26" xfId="0" applyNumberFormat="1" applyFont="1" applyBorder="1" applyAlignment="1">
      <alignment horizontal="center" vertical="center"/>
    </xf>
    <xf numFmtId="0" fontId="9" fillId="8" borderId="16" xfId="0" applyFont="1" applyFill="1" applyBorder="1" applyAlignment="1">
      <alignment horizontal="center" vertical="center"/>
    </xf>
    <xf numFmtId="0" fontId="9" fillId="8" borderId="27" xfId="0" applyFont="1" applyFill="1" applyBorder="1" applyAlignment="1">
      <alignment horizontal="center" vertical="center"/>
    </xf>
    <xf numFmtId="0" fontId="9" fillId="8" borderId="13" xfId="0" applyFont="1" applyFill="1" applyBorder="1" applyAlignment="1">
      <alignment horizontal="center" vertical="center"/>
    </xf>
    <xf numFmtId="0" fontId="9" fillId="8" borderId="28" xfId="0" applyFont="1" applyFill="1" applyBorder="1" applyAlignment="1">
      <alignment horizontal="center" vertical="center"/>
    </xf>
    <xf numFmtId="0" fontId="9" fillId="8" borderId="29" xfId="0" applyFont="1" applyFill="1" applyBorder="1" applyAlignment="1">
      <alignment horizontal="center" vertical="center"/>
    </xf>
    <xf numFmtId="0" fontId="9" fillId="8" borderId="30" xfId="0" applyFont="1" applyFill="1" applyBorder="1" applyAlignment="1">
      <alignment horizontal="center" vertical="center"/>
    </xf>
    <xf numFmtId="0" fontId="5" fillId="0" borderId="31" xfId="0" applyFont="1" applyBorder="1" applyAlignment="1">
      <alignment horizontal="center" vertical="center"/>
    </xf>
    <xf numFmtId="181" fontId="5" fillId="0" borderId="32" xfId="0" applyNumberFormat="1" applyFont="1" applyBorder="1" applyAlignment="1">
      <alignment horizontal="center" vertical="center"/>
    </xf>
    <xf numFmtId="10" fontId="5" fillId="0" borderId="32" xfId="3" applyNumberFormat="1" applyFont="1" applyFill="1" applyBorder="1" applyAlignment="1">
      <alignment horizontal="center" vertical="center"/>
    </xf>
    <xf numFmtId="181" fontId="5" fillId="0" borderId="33" xfId="0" applyNumberFormat="1" applyFont="1" applyBorder="1" applyAlignment="1">
      <alignment horizontal="center" vertical="center"/>
    </xf>
    <xf numFmtId="181" fontId="5" fillId="0" borderId="34" xfId="0" applyNumberFormat="1" applyFont="1" applyBorder="1" applyAlignment="1">
      <alignment horizontal="center" vertical="center"/>
    </xf>
    <xf numFmtId="10" fontId="5" fillId="0" borderId="34" xfId="3" applyNumberFormat="1" applyFont="1" applyFill="1" applyBorder="1" applyAlignment="1">
      <alignment horizontal="center" vertical="center"/>
    </xf>
    <xf numFmtId="181" fontId="5" fillId="0" borderId="26" xfId="0" applyNumberFormat="1" applyFont="1" applyBorder="1" applyAlignment="1">
      <alignment horizontal="center" vertical="center"/>
    </xf>
    <xf numFmtId="0" fontId="9" fillId="8" borderId="35" xfId="0" applyFont="1" applyFill="1" applyBorder="1" applyAlignment="1">
      <alignment horizontal="center" vertical="center"/>
    </xf>
    <xf numFmtId="9" fontId="5" fillId="0" borderId="32" xfId="3" applyFont="1" applyBorder="1" applyAlignment="1">
      <alignment horizontal="center" vertical="center"/>
    </xf>
    <xf numFmtId="181" fontId="9" fillId="0" borderId="33" xfId="0" applyNumberFormat="1" applyFont="1" applyBorder="1" applyAlignment="1">
      <alignment horizontal="center" vertical="center"/>
    </xf>
    <xf numFmtId="0" fontId="5" fillId="0" borderId="36" xfId="0" applyFont="1" applyBorder="1" applyAlignment="1">
      <alignment horizontal="center" vertical="center"/>
    </xf>
    <xf numFmtId="181" fontId="5" fillId="0" borderId="37" xfId="0" applyNumberFormat="1" applyFont="1" applyBorder="1" applyAlignment="1">
      <alignment horizontal="center" vertical="center"/>
    </xf>
    <xf numFmtId="9" fontId="5" fillId="0" borderId="37" xfId="3" applyFont="1" applyBorder="1" applyAlignment="1">
      <alignment horizontal="center" vertical="center"/>
    </xf>
    <xf numFmtId="181" fontId="9" fillId="0" borderId="38" xfId="0" applyNumberFormat="1" applyFont="1" applyBorder="1" applyAlignment="1">
      <alignment horizontal="center" vertical="center"/>
    </xf>
    <xf numFmtId="0" fontId="5" fillId="0" borderId="2" xfId="0" applyFont="1" applyBorder="1" applyAlignment="1">
      <alignment horizontal="center" vertical="center"/>
    </xf>
    <xf numFmtId="181" fontId="5" fillId="0" borderId="2" xfId="0" applyNumberFormat="1" applyFont="1" applyBorder="1" applyAlignment="1">
      <alignment horizontal="center" vertical="center"/>
    </xf>
    <xf numFmtId="9" fontId="5" fillId="0" borderId="2" xfId="3" applyFont="1" applyBorder="1" applyAlignment="1">
      <alignment horizontal="center" vertical="center"/>
    </xf>
    <xf numFmtId="181" fontId="9" fillId="0" borderId="2" xfId="0" applyNumberFormat="1" applyFont="1" applyBorder="1" applyAlignment="1">
      <alignment horizontal="center" vertical="center"/>
    </xf>
    <xf numFmtId="181" fontId="5" fillId="0" borderId="39" xfId="0" applyNumberFormat="1" applyFont="1" applyBorder="1" applyAlignment="1">
      <alignment horizontal="center" vertical="center"/>
    </xf>
    <xf numFmtId="9" fontId="5" fillId="0" borderId="39" xfId="3" applyFont="1" applyBorder="1" applyAlignment="1">
      <alignment horizontal="center" vertical="center"/>
    </xf>
    <xf numFmtId="0" fontId="5" fillId="0" borderId="40" xfId="0" applyFont="1" applyBorder="1" applyAlignment="1">
      <alignment horizontal="center" vertical="center"/>
    </xf>
    <xf numFmtId="181" fontId="5" fillId="0" borderId="41" xfId="0" applyNumberFormat="1" applyFont="1" applyBorder="1" applyAlignment="1">
      <alignment horizontal="center" vertical="center"/>
    </xf>
    <xf numFmtId="9" fontId="5" fillId="0" borderId="41" xfId="3" applyFont="1" applyBorder="1" applyAlignment="1">
      <alignment horizontal="center" vertical="center"/>
    </xf>
    <xf numFmtId="181" fontId="9" fillId="0" borderId="42" xfId="0" applyNumberFormat="1" applyFont="1" applyBorder="1" applyAlignment="1">
      <alignment horizontal="center" vertical="center"/>
    </xf>
    <xf numFmtId="9" fontId="5" fillId="0" borderId="34" xfId="3" applyFont="1" applyBorder="1" applyAlignment="1">
      <alignment horizontal="center" vertical="center"/>
    </xf>
    <xf numFmtId="10" fontId="5" fillId="0" borderId="32" xfId="3" applyNumberFormat="1" applyFont="1" applyBorder="1" applyAlignment="1">
      <alignment horizontal="center" vertical="center"/>
    </xf>
    <xf numFmtId="10" fontId="5" fillId="0" borderId="34" xfId="3" applyNumberFormat="1" applyFont="1" applyBorder="1" applyAlignment="1">
      <alignment horizontal="center" vertical="center"/>
    </xf>
    <xf numFmtId="0" fontId="9" fillId="8" borderId="29" xfId="0" applyFont="1" applyFill="1" applyBorder="1" applyAlignment="1">
      <alignment horizontal="center" vertical="center" wrapText="1"/>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34" xfId="0" applyFont="1" applyBorder="1" applyAlignment="1">
      <alignment horizontal="center" vertical="center"/>
    </xf>
    <xf numFmtId="0" fontId="5" fillId="0" borderId="26" xfId="0" applyFont="1" applyBorder="1" applyAlignment="1">
      <alignment horizontal="center" vertical="center"/>
    </xf>
    <xf numFmtId="0" fontId="18" fillId="0" borderId="0" xfId="0" applyFont="1" applyAlignment="1">
      <alignment horizontal="center" vertical="center" wrapText="1"/>
    </xf>
    <xf numFmtId="0" fontId="9" fillId="8" borderId="43" xfId="0" applyFont="1" applyFill="1" applyBorder="1" applyAlignment="1">
      <alignment horizontal="center" vertical="center"/>
    </xf>
    <xf numFmtId="0" fontId="9" fillId="8" borderId="44" xfId="0" applyFont="1" applyFill="1" applyBorder="1" applyAlignment="1">
      <alignment horizontal="center" vertical="center"/>
    </xf>
    <xf numFmtId="0" fontId="9" fillId="8" borderId="45" xfId="0" applyFont="1" applyFill="1" applyBorder="1" applyAlignment="1">
      <alignment horizontal="center" vertical="center"/>
    </xf>
    <xf numFmtId="0" fontId="9" fillId="8" borderId="46" xfId="0" applyFont="1" applyFill="1" applyBorder="1" applyAlignment="1">
      <alignment horizontal="center" vertical="center"/>
    </xf>
    <xf numFmtId="0" fontId="9" fillId="8" borderId="47" xfId="0" applyFont="1" applyFill="1" applyBorder="1" applyAlignment="1">
      <alignment horizontal="center" vertical="center"/>
    </xf>
    <xf numFmtId="0" fontId="9" fillId="8" borderId="47" xfId="0" applyFont="1" applyFill="1" applyBorder="1" applyAlignment="1">
      <alignment horizontal="center" vertical="center" wrapText="1"/>
    </xf>
    <xf numFmtId="0" fontId="9" fillId="8" borderId="48" xfId="0" applyFont="1" applyFill="1" applyBorder="1" applyAlignment="1">
      <alignment horizontal="center" vertical="center"/>
    </xf>
    <xf numFmtId="0" fontId="5" fillId="0" borderId="39" xfId="0" applyFont="1" applyBorder="1" applyAlignment="1">
      <alignment horizontal="center" vertical="center"/>
    </xf>
    <xf numFmtId="4" fontId="5" fillId="0" borderId="39" xfId="0" applyNumberFormat="1" applyFont="1" applyBorder="1" applyAlignment="1">
      <alignment horizontal="center" vertical="center"/>
    </xf>
    <xf numFmtId="4" fontId="5" fillId="0" borderId="41" xfId="0" applyNumberFormat="1" applyFont="1" applyBorder="1" applyAlignment="1">
      <alignment horizontal="center" vertical="center"/>
    </xf>
    <xf numFmtId="4" fontId="5" fillId="0" borderId="34" xfId="0" applyNumberFormat="1" applyFont="1" applyBorder="1" applyAlignment="1">
      <alignment horizontal="center" vertical="center"/>
    </xf>
    <xf numFmtId="0" fontId="9" fillId="8" borderId="21" xfId="0" applyFont="1" applyFill="1" applyBorder="1" applyAlignment="1">
      <alignment horizontal="center" vertical="center" wrapText="1"/>
    </xf>
    <xf numFmtId="0" fontId="8" fillId="0" borderId="0" xfId="0" applyFont="1" applyAlignment="1">
      <alignment horizontal="center" vertical="center"/>
    </xf>
    <xf numFmtId="0" fontId="9" fillId="8" borderId="49" xfId="0" applyFont="1" applyFill="1" applyBorder="1" applyAlignment="1">
      <alignment horizontal="center" vertical="center"/>
    </xf>
    <xf numFmtId="0" fontId="9" fillId="8" borderId="50" xfId="0" applyFont="1" applyFill="1" applyBorder="1" applyAlignment="1">
      <alignment horizontal="center" vertical="center"/>
    </xf>
    <xf numFmtId="0" fontId="9" fillId="8" borderId="50" xfId="0" applyFont="1" applyFill="1" applyBorder="1" applyAlignment="1">
      <alignment horizontal="center" vertical="center" wrapText="1"/>
    </xf>
    <xf numFmtId="0" fontId="9" fillId="8" borderId="51" xfId="0" applyFont="1" applyFill="1" applyBorder="1" applyAlignment="1">
      <alignment horizontal="center" vertical="center"/>
    </xf>
    <xf numFmtId="10" fontId="5" fillId="0" borderId="32" xfId="0" applyNumberFormat="1" applyFont="1" applyBorder="1" applyAlignment="1">
      <alignment horizontal="center" vertical="center"/>
    </xf>
    <xf numFmtId="10" fontId="5" fillId="0" borderId="37" xfId="0" applyNumberFormat="1" applyFont="1" applyBorder="1" applyAlignment="1">
      <alignment horizontal="center" vertical="center"/>
    </xf>
    <xf numFmtId="10" fontId="5" fillId="0" borderId="2" xfId="0" applyNumberFormat="1" applyFont="1" applyBorder="1" applyAlignment="1">
      <alignment horizontal="center" vertical="center"/>
    </xf>
    <xf numFmtId="10" fontId="5" fillId="0" borderId="39" xfId="0" applyNumberFormat="1" applyFont="1" applyBorder="1" applyAlignment="1">
      <alignment horizontal="center" vertical="center"/>
    </xf>
    <xf numFmtId="10" fontId="5" fillId="0" borderId="41" xfId="0" applyNumberFormat="1" applyFont="1" applyBorder="1" applyAlignment="1">
      <alignment horizontal="center" vertical="center"/>
    </xf>
    <xf numFmtId="10" fontId="5" fillId="0" borderId="34" xfId="0" applyNumberFormat="1" applyFont="1" applyBorder="1" applyAlignment="1">
      <alignment horizontal="center" vertical="center"/>
    </xf>
    <xf numFmtId="0" fontId="9" fillId="8" borderId="16" xfId="0" applyFont="1" applyFill="1" applyBorder="1" applyAlignment="1">
      <alignment horizontal="center" vertical="center" wrapText="1"/>
    </xf>
    <xf numFmtId="0" fontId="9" fillId="8" borderId="27" xfId="0" applyFont="1" applyFill="1" applyBorder="1" applyAlignment="1">
      <alignment horizontal="center" vertical="center" wrapText="1"/>
    </xf>
    <xf numFmtId="0" fontId="9" fillId="8" borderId="13" xfId="0" applyFont="1" applyFill="1" applyBorder="1" applyAlignment="1">
      <alignment horizontal="center" vertical="center" wrapText="1"/>
    </xf>
    <xf numFmtId="10" fontId="5" fillId="0" borderId="37" xfId="3" applyNumberFormat="1" applyFont="1" applyBorder="1" applyAlignment="1">
      <alignment horizontal="center" vertical="center"/>
    </xf>
    <xf numFmtId="10" fontId="5" fillId="0" borderId="2" xfId="3" applyNumberFormat="1" applyFont="1" applyBorder="1" applyAlignment="1">
      <alignment horizontal="center" vertical="center"/>
    </xf>
    <xf numFmtId="10" fontId="5" fillId="0" borderId="39" xfId="3" applyNumberFormat="1" applyFont="1" applyBorder="1" applyAlignment="1">
      <alignment horizontal="center" vertical="center"/>
    </xf>
    <xf numFmtId="10" fontId="5" fillId="0" borderId="41" xfId="3" applyNumberFormat="1" applyFont="1" applyBorder="1" applyAlignment="1">
      <alignment horizontal="center" vertical="center"/>
    </xf>
    <xf numFmtId="10" fontId="5" fillId="0" borderId="33" xfId="3" applyNumberFormat="1" applyFont="1" applyBorder="1" applyAlignment="1">
      <alignment horizontal="center" vertical="center"/>
    </xf>
    <xf numFmtId="10" fontId="5" fillId="0" borderId="42" xfId="3" applyNumberFormat="1" applyFont="1" applyBorder="1" applyAlignment="1">
      <alignment horizontal="center" vertical="center"/>
    </xf>
    <xf numFmtId="10" fontId="5" fillId="10" borderId="42" xfId="3" applyNumberFormat="1" applyFont="1" applyFill="1" applyBorder="1" applyAlignment="1">
      <alignment horizontal="center" vertical="center"/>
    </xf>
    <xf numFmtId="10" fontId="5" fillId="0" borderId="26" xfId="3" applyNumberFormat="1" applyFont="1" applyBorder="1" applyAlignment="1">
      <alignment horizontal="center" vertical="center"/>
    </xf>
    <xf numFmtId="0" fontId="9" fillId="12" borderId="46" xfId="0" applyFont="1" applyFill="1" applyBorder="1" applyAlignment="1">
      <alignment horizontal="center" vertical="center"/>
    </xf>
    <xf numFmtId="10" fontId="9" fillId="12" borderId="48" xfId="3" applyNumberFormat="1" applyFont="1" applyFill="1" applyBorder="1" applyAlignment="1">
      <alignment horizontal="center" vertical="center"/>
    </xf>
    <xf numFmtId="10" fontId="5" fillId="10" borderId="32" xfId="0" applyNumberFormat="1" applyFont="1" applyFill="1" applyBorder="1" applyAlignment="1">
      <alignment horizontal="center" vertical="center"/>
    </xf>
    <xf numFmtId="10" fontId="5" fillId="10" borderId="37" xfId="0" applyNumberFormat="1" applyFont="1" applyFill="1" applyBorder="1" applyAlignment="1">
      <alignment horizontal="center" vertical="center"/>
    </xf>
    <xf numFmtId="10" fontId="5" fillId="10" borderId="2" xfId="0" applyNumberFormat="1" applyFont="1" applyFill="1" applyBorder="1" applyAlignment="1">
      <alignment horizontal="center" vertical="center"/>
    </xf>
    <xf numFmtId="10" fontId="5" fillId="10" borderId="39" xfId="0" applyNumberFormat="1" applyFont="1" applyFill="1" applyBorder="1" applyAlignment="1">
      <alignment horizontal="center" vertical="center"/>
    </xf>
    <xf numFmtId="10" fontId="5" fillId="10" borderId="41" xfId="0" applyNumberFormat="1" applyFont="1" applyFill="1" applyBorder="1" applyAlignment="1">
      <alignment horizontal="center" vertical="center"/>
    </xf>
    <xf numFmtId="10" fontId="5" fillId="10" borderId="34" xfId="0" applyNumberFormat="1" applyFont="1" applyFill="1" applyBorder="1" applyAlignment="1">
      <alignment horizontal="center" vertical="center"/>
    </xf>
    <xf numFmtId="0" fontId="9" fillId="8" borderId="52" xfId="0" applyFont="1" applyFill="1" applyBorder="1" applyAlignment="1">
      <alignment horizontal="center" vertical="center"/>
    </xf>
    <xf numFmtId="0" fontId="9" fillId="8" borderId="53" xfId="0" applyFont="1" applyFill="1" applyBorder="1" applyAlignment="1">
      <alignment horizontal="center" vertical="center"/>
    </xf>
    <xf numFmtId="0" fontId="9" fillId="8" borderId="54" xfId="0" applyFont="1" applyFill="1" applyBorder="1" applyAlignment="1">
      <alignment horizontal="center" vertical="center"/>
    </xf>
    <xf numFmtId="0" fontId="9" fillId="8" borderId="2" xfId="0" applyFont="1" applyFill="1" applyBorder="1" applyAlignment="1">
      <alignment horizontal="center" vertical="center"/>
    </xf>
    <xf numFmtId="0" fontId="9" fillId="8" borderId="2" xfId="0" applyFont="1" applyFill="1" applyBorder="1" applyAlignment="1">
      <alignment horizontal="center" vertical="center" wrapText="1"/>
    </xf>
    <xf numFmtId="1" fontId="5" fillId="0" borderId="2" xfId="0" applyNumberFormat="1" applyFont="1" applyBorder="1" applyAlignment="1">
      <alignment horizontal="center" vertical="center"/>
    </xf>
    <xf numFmtId="1" fontId="5" fillId="0" borderId="39" xfId="0" applyNumberFormat="1" applyFont="1" applyBorder="1" applyAlignment="1">
      <alignment horizontal="center" vertical="center"/>
    </xf>
    <xf numFmtId="1" fontId="5" fillId="0" borderId="41" xfId="0" applyNumberFormat="1" applyFont="1" applyBorder="1" applyAlignment="1">
      <alignment horizontal="center" vertical="center"/>
    </xf>
    <xf numFmtId="1" fontId="5" fillId="0" borderId="34" xfId="0" applyNumberFormat="1" applyFont="1" applyBorder="1" applyAlignment="1">
      <alignment horizontal="center" vertical="center"/>
    </xf>
    <xf numFmtId="1" fontId="5" fillId="0" borderId="32" xfId="0" applyNumberFormat="1" applyFont="1" applyBorder="1" applyAlignment="1">
      <alignment horizontal="center" vertical="center"/>
    </xf>
    <xf numFmtId="1" fontId="5" fillId="0" borderId="37" xfId="0" applyNumberFormat="1" applyFont="1" applyBorder="1" applyAlignment="1">
      <alignment horizontal="center" vertical="center"/>
    </xf>
    <xf numFmtId="0" fontId="9" fillId="8" borderId="55" xfId="0" applyFont="1" applyFill="1" applyBorder="1" applyAlignment="1">
      <alignment horizontal="center" vertical="center" wrapText="1"/>
    </xf>
    <xf numFmtId="0" fontId="9" fillId="8" borderId="56" xfId="0" applyFont="1" applyFill="1" applyBorder="1" applyAlignment="1">
      <alignment horizontal="center" vertical="center" wrapText="1"/>
    </xf>
    <xf numFmtId="0" fontId="9" fillId="8" borderId="57" xfId="0" applyFont="1" applyFill="1" applyBorder="1" applyAlignment="1">
      <alignment horizontal="center" vertical="center" wrapText="1"/>
    </xf>
    <xf numFmtId="0" fontId="9" fillId="8" borderId="58" xfId="0" applyFont="1" applyFill="1" applyBorder="1" applyAlignment="1">
      <alignment horizontal="center" vertical="center"/>
    </xf>
    <xf numFmtId="0" fontId="9" fillId="8" borderId="59" xfId="0" applyFont="1" applyFill="1" applyBorder="1" applyAlignment="1">
      <alignment horizontal="center" vertical="center"/>
    </xf>
    <xf numFmtId="0" fontId="5" fillId="0" borderId="60" xfId="0" applyFont="1" applyBorder="1" applyAlignment="1">
      <alignment horizontal="center" vertical="center"/>
    </xf>
    <xf numFmtId="181" fontId="5" fillId="0" borderId="61" xfId="0" applyNumberFormat="1" applyFont="1" applyBorder="1" applyAlignment="1">
      <alignment horizontal="center" vertical="center"/>
    </xf>
    <xf numFmtId="0" fontId="5" fillId="0" borderId="62" xfId="0" applyFont="1" applyBorder="1" applyAlignment="1">
      <alignment horizontal="center" vertical="center"/>
    </xf>
    <xf numFmtId="181" fontId="5" fillId="0" borderId="63" xfId="0" applyNumberFormat="1" applyFont="1" applyBorder="1" applyAlignment="1">
      <alignment horizontal="center" vertical="center"/>
    </xf>
    <xf numFmtId="0" fontId="5" fillId="0" borderId="64" xfId="0" applyFont="1" applyBorder="1" applyAlignment="1">
      <alignment horizontal="center" vertical="center"/>
    </xf>
    <xf numFmtId="181" fontId="5" fillId="0" borderId="65" xfId="0" applyNumberFormat="1" applyFont="1" applyBorder="1" applyAlignment="1">
      <alignment horizontal="center" vertical="center"/>
    </xf>
    <xf numFmtId="181" fontId="5" fillId="0" borderId="66" xfId="0" applyNumberFormat="1" applyFont="1" applyBorder="1" applyAlignment="1">
      <alignment horizontal="center" vertical="center"/>
    </xf>
    <xf numFmtId="181" fontId="5" fillId="0" borderId="0" xfId="0" applyNumberFormat="1" applyFont="1" applyAlignment="1">
      <alignment horizontal="center" vertical="center"/>
    </xf>
    <xf numFmtId="181" fontId="9" fillId="0" borderId="0" xfId="0" applyNumberFormat="1" applyFont="1" applyAlignment="1">
      <alignment horizontal="center" vertical="center"/>
    </xf>
    <xf numFmtId="0" fontId="9" fillId="8" borderId="67" xfId="0" applyFont="1" applyFill="1" applyBorder="1" applyAlignment="1">
      <alignment horizontal="center" vertical="center" wrapText="1"/>
    </xf>
    <xf numFmtId="0" fontId="9" fillId="8" borderId="68" xfId="0" applyFont="1" applyFill="1" applyBorder="1" applyAlignment="1">
      <alignment horizontal="center" vertical="center" wrapText="1"/>
    </xf>
    <xf numFmtId="0" fontId="5" fillId="0" borderId="69" xfId="0" applyFont="1" applyBorder="1" applyAlignment="1">
      <alignment horizontal="center" vertical="center"/>
    </xf>
    <xf numFmtId="181" fontId="9" fillId="0" borderId="70" xfId="0" applyNumberFormat="1" applyFont="1" applyBorder="1" applyAlignment="1">
      <alignment horizontal="center" vertical="center"/>
    </xf>
    <xf numFmtId="181" fontId="9" fillId="0" borderId="63" xfId="0" applyNumberFormat="1" applyFont="1" applyBorder="1" applyAlignment="1">
      <alignment horizontal="center" vertical="center"/>
    </xf>
    <xf numFmtId="0" fontId="5" fillId="0" borderId="71" xfId="0" applyFont="1" applyBorder="1" applyAlignment="1">
      <alignment horizontal="center" vertical="center"/>
    </xf>
    <xf numFmtId="181" fontId="5" fillId="0" borderId="72" xfId="0" applyNumberFormat="1" applyFont="1" applyBorder="1" applyAlignment="1">
      <alignment horizontal="center" vertical="center"/>
    </xf>
    <xf numFmtId="181" fontId="9" fillId="0" borderId="73" xfId="0" applyNumberFormat="1" applyFont="1" applyBorder="1" applyAlignment="1">
      <alignment horizontal="center" vertical="center"/>
    </xf>
    <xf numFmtId="0" fontId="19" fillId="0" borderId="74" xfId="0" applyFont="1" applyBorder="1" applyAlignment="1">
      <alignment horizontal="center" vertical="center"/>
    </xf>
    <xf numFmtId="181" fontId="5" fillId="0" borderId="75" xfId="0" applyNumberFormat="1" applyFont="1" applyBorder="1" applyAlignment="1">
      <alignment horizontal="center" vertical="center"/>
    </xf>
    <xf numFmtId="181" fontId="9" fillId="0" borderId="76" xfId="0" applyNumberFormat="1" applyFont="1" applyBorder="1" applyAlignment="1">
      <alignment horizontal="center" vertical="center"/>
    </xf>
    <xf numFmtId="0" fontId="9" fillId="8" borderId="28" xfId="0" applyFont="1" applyFill="1" applyBorder="1" applyAlignment="1">
      <alignment horizontal="center" vertical="center" wrapText="1"/>
    </xf>
    <xf numFmtId="0" fontId="9" fillId="8" borderId="30" xfId="0" applyFont="1" applyFill="1" applyBorder="1" applyAlignment="1">
      <alignment horizontal="center" vertical="center" wrapText="1"/>
    </xf>
    <xf numFmtId="0" fontId="5" fillId="0" borderId="23" xfId="0" applyFont="1" applyBorder="1" applyAlignment="1">
      <alignment horizontal="center" vertical="center" wrapText="1"/>
    </xf>
    <xf numFmtId="10" fontId="5" fillId="0" borderId="24" xfId="3" applyNumberFormat="1" applyFont="1" applyFill="1" applyBorder="1" applyAlignment="1">
      <alignment horizontal="center" vertical="center"/>
    </xf>
    <xf numFmtId="0" fontId="5" fillId="13" borderId="40" xfId="0" applyFont="1" applyFill="1" applyBorder="1" applyAlignment="1">
      <alignment horizontal="center" vertical="center" wrapText="1"/>
    </xf>
    <xf numFmtId="10" fontId="5" fillId="13" borderId="42" xfId="3" applyNumberFormat="1" applyFont="1" applyFill="1" applyBorder="1" applyAlignment="1">
      <alignment horizontal="center" vertical="center"/>
    </xf>
    <xf numFmtId="0" fontId="5" fillId="0" borderId="40" xfId="0" applyFont="1" applyBorder="1" applyAlignment="1">
      <alignment horizontal="center" vertical="center" wrapText="1"/>
    </xf>
    <xf numFmtId="10" fontId="5" fillId="0" borderId="42" xfId="3" applyNumberFormat="1" applyFont="1" applyFill="1" applyBorder="1" applyAlignment="1">
      <alignment horizontal="center" vertical="center"/>
    </xf>
    <xf numFmtId="0" fontId="5" fillId="0" borderId="36" xfId="0" applyFont="1" applyBorder="1" applyAlignment="1">
      <alignment horizontal="center" vertical="center" wrapText="1"/>
    </xf>
    <xf numFmtId="10" fontId="5" fillId="0" borderId="38" xfId="3" applyNumberFormat="1" applyFont="1" applyFill="1" applyBorder="1" applyAlignment="1">
      <alignment horizontal="center" vertical="center"/>
    </xf>
    <xf numFmtId="10" fontId="9" fillId="8" borderId="22" xfId="0" applyNumberFormat="1" applyFont="1" applyFill="1" applyBorder="1" applyAlignment="1">
      <alignment horizontal="center" vertical="center"/>
    </xf>
    <xf numFmtId="0" fontId="5" fillId="0" borderId="37" xfId="0" applyFont="1" applyBorder="1" applyAlignment="1">
      <alignment horizontal="center" vertical="center"/>
    </xf>
    <xf numFmtId="0" fontId="5" fillId="0" borderId="74" xfId="0" applyFont="1" applyBorder="1" applyAlignment="1">
      <alignment horizontal="center" vertical="center"/>
    </xf>
    <xf numFmtId="0" fontId="5" fillId="0" borderId="75" xfId="0" applyFont="1" applyBorder="1" applyAlignment="1">
      <alignment horizontal="center" vertical="center"/>
    </xf>
    <xf numFmtId="0" fontId="9" fillId="8" borderId="77" xfId="0" applyFont="1" applyFill="1" applyBorder="1" applyAlignment="1">
      <alignment horizontal="center" vertical="center" wrapText="1"/>
    </xf>
    <xf numFmtId="9" fontId="5" fillId="0" borderId="75" xfId="3" applyFont="1" applyBorder="1" applyAlignment="1">
      <alignment horizontal="center" vertical="center"/>
    </xf>
    <xf numFmtId="10" fontId="5" fillId="0" borderId="75" xfId="0" applyNumberFormat="1" applyFont="1" applyBorder="1" applyAlignment="1">
      <alignment horizontal="center" vertical="center"/>
    </xf>
    <xf numFmtId="0" fontId="8" fillId="14" borderId="0" xfId="0" applyFont="1" applyFill="1" applyAlignment="1">
      <alignment horizontal="left" vertical="center" wrapText="1"/>
    </xf>
    <xf numFmtId="182" fontId="5" fillId="0" borderId="32" xfId="0" applyNumberFormat="1" applyFont="1" applyBorder="1" applyAlignment="1">
      <alignment horizontal="center" vertical="center"/>
    </xf>
    <xf numFmtId="182" fontId="9" fillId="0" borderId="33" xfId="0" applyNumberFormat="1" applyFont="1" applyBorder="1" applyAlignment="1">
      <alignment horizontal="center" vertical="center"/>
    </xf>
    <xf numFmtId="182" fontId="5" fillId="0" borderId="37" xfId="0" applyNumberFormat="1" applyFont="1" applyBorder="1" applyAlignment="1">
      <alignment horizontal="center" vertical="center"/>
    </xf>
    <xf numFmtId="182" fontId="9" fillId="0" borderId="38" xfId="0" applyNumberFormat="1" applyFont="1" applyBorder="1" applyAlignment="1">
      <alignment horizontal="center" vertical="center"/>
    </xf>
    <xf numFmtId="182" fontId="5" fillId="0" borderId="75" xfId="0" applyNumberFormat="1" applyFont="1" applyBorder="1" applyAlignment="1">
      <alignment horizontal="center" vertical="center"/>
    </xf>
    <xf numFmtId="182" fontId="9" fillId="0" borderId="76" xfId="0" applyNumberFormat="1" applyFont="1" applyBorder="1" applyAlignment="1">
      <alignment horizontal="center" vertical="center"/>
    </xf>
    <xf numFmtId="182" fontId="5" fillId="0" borderId="39" xfId="0" applyNumberFormat="1" applyFont="1" applyBorder="1" applyAlignment="1">
      <alignment horizontal="center" vertical="center"/>
    </xf>
    <xf numFmtId="182" fontId="9" fillId="0" borderId="24" xfId="0" applyNumberFormat="1" applyFont="1" applyBorder="1" applyAlignment="1">
      <alignment horizontal="center" vertical="center"/>
    </xf>
    <xf numFmtId="182" fontId="5" fillId="0" borderId="41" xfId="0" applyNumberFormat="1" applyFont="1" applyBorder="1" applyAlignment="1">
      <alignment horizontal="center" vertical="center"/>
    </xf>
    <xf numFmtId="182" fontId="9" fillId="0" borderId="42" xfId="0" applyNumberFormat="1" applyFont="1" applyBorder="1" applyAlignment="1">
      <alignment horizontal="center" vertical="center"/>
    </xf>
    <xf numFmtId="182" fontId="5" fillId="0" borderId="34" xfId="0" applyNumberFormat="1" applyFont="1" applyBorder="1" applyAlignment="1">
      <alignment horizontal="center" vertical="center"/>
    </xf>
    <xf numFmtId="182" fontId="9" fillId="0" borderId="26" xfId="0" applyNumberFormat="1" applyFont="1" applyBorder="1" applyAlignment="1">
      <alignment horizontal="center" vertical="center"/>
    </xf>
    <xf numFmtId="0" fontId="9" fillId="8" borderId="78" xfId="0" applyFont="1" applyFill="1" applyBorder="1" applyAlignment="1">
      <alignment horizontal="center" vertical="center" wrapText="1"/>
    </xf>
    <xf numFmtId="0" fontId="9" fillId="8" borderId="14" xfId="0" applyFont="1" applyFill="1" applyBorder="1" applyAlignment="1">
      <alignment horizontal="center" vertical="center" wrapText="1"/>
    </xf>
    <xf numFmtId="0" fontId="9" fillId="8" borderId="12" xfId="0" applyFont="1" applyFill="1" applyBorder="1" applyAlignment="1">
      <alignment horizontal="center" vertical="center" wrapText="1"/>
    </xf>
    <xf numFmtId="0" fontId="5" fillId="0" borderId="31" xfId="0" applyFont="1" applyBorder="1" applyAlignment="1">
      <alignment horizontal="center" vertical="center" wrapText="1"/>
    </xf>
    <xf numFmtId="183" fontId="8" fillId="0" borderId="79" xfId="0" applyNumberFormat="1" applyFont="1" applyBorder="1" applyAlignment="1">
      <alignment horizontal="center" vertical="center" wrapText="1"/>
    </xf>
    <xf numFmtId="0" fontId="5" fillId="0" borderId="80" xfId="0" applyFont="1" applyBorder="1" applyAlignment="1">
      <alignment horizontal="center" vertical="center" wrapText="1"/>
    </xf>
    <xf numFmtId="9" fontId="5" fillId="0" borderId="31" xfId="3" applyFont="1" applyBorder="1" applyAlignment="1">
      <alignment horizontal="center" vertical="center" wrapText="1"/>
    </xf>
    <xf numFmtId="184" fontId="9" fillId="0" borderId="33" xfId="1" applyNumberFormat="1" applyFont="1" applyBorder="1" applyAlignment="1">
      <alignment horizontal="center" vertical="center" wrapText="1"/>
    </xf>
    <xf numFmtId="10" fontId="5" fillId="0" borderId="31" xfId="3" applyNumberFormat="1" applyFont="1" applyBorder="1" applyAlignment="1">
      <alignment horizontal="center" vertical="center" wrapText="1"/>
    </xf>
    <xf numFmtId="183" fontId="8" fillId="0" borderId="2" xfId="0" applyNumberFormat="1" applyFont="1" applyBorder="1" applyAlignment="1">
      <alignment horizontal="center" vertical="center" wrapText="1"/>
    </xf>
    <xf numFmtId="0" fontId="5" fillId="0" borderId="81" xfId="0" applyFont="1" applyBorder="1" applyAlignment="1">
      <alignment horizontal="center" vertical="center" wrapText="1"/>
    </xf>
    <xf numFmtId="9" fontId="5" fillId="0" borderId="40" xfId="3" applyFont="1" applyBorder="1" applyAlignment="1">
      <alignment horizontal="center" vertical="center" wrapText="1"/>
    </xf>
    <xf numFmtId="184" fontId="9" fillId="0" borderId="42" xfId="1" applyNumberFormat="1" applyFont="1" applyBorder="1" applyAlignment="1">
      <alignment horizontal="center" vertical="center" wrapText="1"/>
    </xf>
    <xf numFmtId="10" fontId="5" fillId="0" borderId="40" xfId="3" applyNumberFormat="1" applyFont="1" applyBorder="1" applyAlignment="1">
      <alignment horizontal="center" vertical="center" wrapText="1"/>
    </xf>
    <xf numFmtId="0" fontId="5" fillId="0" borderId="25" xfId="0" applyFont="1" applyBorder="1" applyAlignment="1">
      <alignment horizontal="center" vertical="center" wrapText="1"/>
    </xf>
    <xf numFmtId="183" fontId="8" fillId="0" borderId="65" xfId="0" applyNumberFormat="1" applyFont="1" applyBorder="1" applyAlignment="1">
      <alignment horizontal="center" vertical="center" wrapText="1"/>
    </xf>
    <xf numFmtId="0" fontId="5" fillId="0" borderId="82" xfId="0" applyFont="1" applyBorder="1" applyAlignment="1">
      <alignment horizontal="center" vertical="center" wrapText="1"/>
    </xf>
    <xf numFmtId="9" fontId="5" fillId="0" borderId="25" xfId="3" applyFont="1" applyBorder="1" applyAlignment="1">
      <alignment horizontal="center" vertical="center" wrapText="1"/>
    </xf>
    <xf numFmtId="184" fontId="9" fillId="0" borderId="26" xfId="1" applyNumberFormat="1" applyFont="1" applyBorder="1" applyAlignment="1">
      <alignment horizontal="center" vertical="center" wrapText="1"/>
    </xf>
    <xf numFmtId="10" fontId="5" fillId="0" borderId="25" xfId="3" applyNumberFormat="1" applyFont="1" applyBorder="1" applyAlignment="1">
      <alignment horizontal="center" vertical="center" wrapText="1"/>
    </xf>
    <xf numFmtId="0" fontId="9" fillId="8" borderId="35" xfId="0" applyFont="1" applyFill="1" applyBorder="1" applyAlignment="1">
      <alignment horizontal="center" vertical="center" wrapText="1"/>
    </xf>
    <xf numFmtId="0" fontId="9" fillId="8" borderId="22" xfId="0" applyFont="1" applyFill="1" applyBorder="1" applyAlignment="1">
      <alignment horizontal="center" vertical="center" wrapText="1"/>
    </xf>
    <xf numFmtId="0" fontId="9" fillId="8" borderId="53" xfId="0" applyFont="1" applyFill="1" applyBorder="1" applyAlignment="1">
      <alignment horizontal="center" vertical="center" wrapText="1"/>
    </xf>
    <xf numFmtId="0" fontId="9" fillId="8" borderId="83" xfId="0" applyFont="1" applyFill="1" applyBorder="1" applyAlignment="1">
      <alignment horizontal="center" vertical="center" wrapText="1"/>
    </xf>
    <xf numFmtId="183" fontId="5" fillId="0" borderId="32" xfId="0" applyNumberFormat="1" applyFont="1" applyBorder="1" applyAlignment="1">
      <alignment horizontal="center" vertical="center" wrapText="1"/>
    </xf>
    <xf numFmtId="183" fontId="5" fillId="0" borderId="33" xfId="0" applyNumberFormat="1" applyFont="1" applyBorder="1" applyAlignment="1">
      <alignment horizontal="center" vertical="center" wrapText="1"/>
    </xf>
    <xf numFmtId="183" fontId="5" fillId="0" borderId="41" xfId="0" applyNumberFormat="1" applyFont="1" applyBorder="1" applyAlignment="1">
      <alignment horizontal="center" vertical="center" wrapText="1"/>
    </xf>
    <xf numFmtId="183" fontId="5" fillId="0" borderId="42" xfId="0" applyNumberFormat="1" applyFont="1" applyBorder="1" applyAlignment="1">
      <alignment horizontal="center" vertical="center" wrapText="1"/>
    </xf>
    <xf numFmtId="183" fontId="5" fillId="0" borderId="37" xfId="0" applyNumberFormat="1" applyFont="1" applyBorder="1" applyAlignment="1">
      <alignment horizontal="center" vertical="center" wrapText="1"/>
    </xf>
    <xf numFmtId="183" fontId="5" fillId="0" borderId="38" xfId="0" applyNumberFormat="1" applyFont="1" applyBorder="1" applyAlignment="1">
      <alignment horizontal="center" vertical="center" wrapText="1"/>
    </xf>
    <xf numFmtId="183" fontId="9" fillId="8" borderId="35" xfId="0" applyNumberFormat="1" applyFont="1" applyFill="1" applyBorder="1" applyAlignment="1">
      <alignment horizontal="center" vertical="center" wrapText="1"/>
    </xf>
    <xf numFmtId="183" fontId="9" fillId="8" borderId="22" xfId="0" applyNumberFormat="1" applyFont="1" applyFill="1" applyBorder="1" applyAlignment="1">
      <alignment horizontal="center" vertical="center" wrapText="1"/>
    </xf>
    <xf numFmtId="1" fontId="5" fillId="0" borderId="75" xfId="0" applyNumberFormat="1" applyFont="1" applyBorder="1" applyAlignment="1">
      <alignment horizontal="center" vertical="center"/>
    </xf>
    <xf numFmtId="183" fontId="5" fillId="0" borderId="32" xfId="0" applyNumberFormat="1" applyFont="1" applyBorder="1" applyAlignment="1">
      <alignment horizontal="center" vertical="center"/>
    </xf>
    <xf numFmtId="183" fontId="5" fillId="0" borderId="37" xfId="0" applyNumberFormat="1" applyFont="1" applyBorder="1" applyAlignment="1">
      <alignment horizontal="center" vertical="center"/>
    </xf>
    <xf numFmtId="2" fontId="5" fillId="0" borderId="75" xfId="0" applyNumberFormat="1" applyFont="1" applyBorder="1" applyAlignment="1">
      <alignment horizontal="center" vertical="center"/>
    </xf>
    <xf numFmtId="183" fontId="5" fillId="0" borderId="39" xfId="0" applyNumberFormat="1" applyFont="1" applyBorder="1" applyAlignment="1">
      <alignment horizontal="center" vertical="center"/>
    </xf>
    <xf numFmtId="183" fontId="5" fillId="0" borderId="41" xfId="0" applyNumberFormat="1" applyFont="1" applyBorder="1" applyAlignment="1">
      <alignment horizontal="center" vertical="center"/>
    </xf>
    <xf numFmtId="183" fontId="5" fillId="0" borderId="34" xfId="0" applyNumberFormat="1" applyFont="1" applyBorder="1" applyAlignment="1">
      <alignment horizontal="center" vertical="center"/>
    </xf>
    <xf numFmtId="0" fontId="9" fillId="8" borderId="84" xfId="0" applyFont="1" applyFill="1" applyBorder="1" applyAlignment="1">
      <alignment horizontal="center" vertical="center"/>
    </xf>
    <xf numFmtId="0" fontId="9" fillId="8" borderId="79" xfId="0" applyFont="1" applyFill="1" applyBorder="1" applyAlignment="1">
      <alignment horizontal="center" vertical="center"/>
    </xf>
    <xf numFmtId="0" fontId="9" fillId="8" borderId="85" xfId="0" applyFont="1" applyFill="1" applyBorder="1" applyAlignment="1">
      <alignment horizontal="center" vertical="center"/>
    </xf>
    <xf numFmtId="0" fontId="9" fillId="8" borderId="86" xfId="0" applyFont="1" applyFill="1" applyBorder="1" applyAlignment="1">
      <alignment horizontal="center" vertical="center"/>
    </xf>
    <xf numFmtId="0" fontId="5" fillId="0" borderId="86" xfId="0" applyFont="1" applyBorder="1" applyAlignment="1">
      <alignment horizontal="center" vertical="center"/>
    </xf>
    <xf numFmtId="181" fontId="9" fillId="0" borderId="59" xfId="0" applyNumberFormat="1" applyFont="1" applyBorder="1" applyAlignment="1">
      <alignment horizontal="center" vertical="center"/>
    </xf>
    <xf numFmtId="0" fontId="5" fillId="0" borderId="87" xfId="0" applyFont="1" applyBorder="1" applyAlignment="1">
      <alignment horizontal="center" vertical="center"/>
    </xf>
    <xf numFmtId="181" fontId="9" fillId="0" borderId="66" xfId="0" applyNumberFormat="1" applyFont="1" applyBorder="1" applyAlignment="1">
      <alignment horizontal="center" vertical="center"/>
    </xf>
    <xf numFmtId="0" fontId="20" fillId="15" borderId="84" xfId="0" applyFont="1" applyFill="1" applyBorder="1" applyAlignment="1">
      <alignment horizontal="center" vertical="center"/>
    </xf>
    <xf numFmtId="0" fontId="20" fillId="15" borderId="79" xfId="0" applyFont="1" applyFill="1" applyBorder="1" applyAlignment="1">
      <alignment horizontal="center" vertical="center"/>
    </xf>
    <xf numFmtId="0" fontId="20" fillId="15" borderId="85" xfId="0" applyFont="1" applyFill="1" applyBorder="1" applyAlignment="1">
      <alignment horizontal="center" vertical="center"/>
    </xf>
    <xf numFmtId="0" fontId="20" fillId="0" borderId="0" xfId="0" applyFont="1" applyAlignment="1">
      <alignment vertical="center"/>
    </xf>
    <xf numFmtId="0" fontId="20" fillId="15" borderId="86" xfId="0" applyFont="1" applyFill="1" applyBorder="1" applyAlignment="1">
      <alignment horizontal="center" vertical="center"/>
    </xf>
    <xf numFmtId="180" fontId="20" fillId="15" borderId="2" xfId="50" applyFont="1" applyFill="1" applyBorder="1" applyAlignment="1" applyProtection="1">
      <alignment horizontal="center" vertical="center"/>
    </xf>
    <xf numFmtId="0" fontId="5" fillId="0" borderId="86" xfId="0" applyFont="1" applyBorder="1" applyAlignment="1">
      <alignment horizontal="left" vertical="center" wrapText="1"/>
    </xf>
    <xf numFmtId="3" fontId="5" fillId="0" borderId="2" xfId="50" applyNumberFormat="1" applyFont="1" applyFill="1" applyBorder="1" applyAlignment="1" applyProtection="1">
      <alignment horizontal="center" vertical="center"/>
    </xf>
    <xf numFmtId="185" fontId="5" fillId="0" borderId="2" xfId="50" applyNumberFormat="1" applyFont="1" applyFill="1" applyBorder="1" applyAlignment="1" applyProtection="1">
      <alignment horizontal="center" vertical="center"/>
    </xf>
    <xf numFmtId="185" fontId="5" fillId="0" borderId="59" xfId="50" applyNumberFormat="1" applyFont="1" applyFill="1" applyBorder="1" applyAlignment="1" applyProtection="1">
      <alignment horizontal="center" vertical="center"/>
    </xf>
    <xf numFmtId="0" fontId="5" fillId="0" borderId="0" xfId="0" applyFont="1" applyAlignment="1">
      <alignment horizontal="left" vertical="center"/>
    </xf>
    <xf numFmtId="0" fontId="20" fillId="15" borderId="87" xfId="0" applyFont="1" applyFill="1" applyBorder="1" applyAlignment="1">
      <alignment horizontal="center" vertical="center"/>
    </xf>
    <xf numFmtId="0" fontId="20" fillId="15" borderId="65" xfId="0" applyFont="1" applyFill="1" applyBorder="1" applyAlignment="1">
      <alignment horizontal="center" vertical="center"/>
    </xf>
    <xf numFmtId="4" fontId="20" fillId="15" borderId="66" xfId="0" applyNumberFormat="1" applyFont="1" applyFill="1" applyBorder="1" applyAlignment="1">
      <alignment horizontal="center" vertical="center"/>
    </xf>
    <xf numFmtId="10" fontId="5" fillId="0" borderId="2" xfId="50" applyNumberFormat="1" applyFont="1" applyFill="1" applyBorder="1" applyAlignment="1" applyProtection="1">
      <alignment horizontal="center" vertical="center"/>
    </xf>
    <xf numFmtId="0" fontId="20" fillId="15" borderId="88" xfId="0" applyFont="1" applyFill="1" applyBorder="1" applyAlignment="1">
      <alignment horizontal="center" vertical="center"/>
    </xf>
    <xf numFmtId="0" fontId="20" fillId="15" borderId="89" xfId="0" applyFont="1" applyFill="1" applyBorder="1" applyAlignment="1">
      <alignment horizontal="center" vertical="center"/>
    </xf>
    <xf numFmtId="0" fontId="20" fillId="15" borderId="90" xfId="0" applyFont="1" applyFill="1" applyBorder="1" applyAlignment="1">
      <alignment horizontal="center" vertical="center"/>
    </xf>
    <xf numFmtId="4" fontId="20" fillId="15" borderId="91" xfId="0" applyNumberFormat="1" applyFont="1" applyFill="1" applyBorder="1" applyAlignment="1">
      <alignment horizontal="center" vertical="center"/>
    </xf>
    <xf numFmtId="4" fontId="5" fillId="0" borderId="34" xfId="50" applyNumberFormat="1" applyFont="1" applyFill="1" applyBorder="1" applyAlignment="1" applyProtection="1">
      <alignment horizontal="center" vertical="center"/>
    </xf>
    <xf numFmtId="4" fontId="20" fillId="0" borderId="26" xfId="50" applyNumberFormat="1" applyFont="1" applyFill="1" applyBorder="1" applyAlignment="1" applyProtection="1">
      <alignment horizontal="center" vertical="center"/>
    </xf>
    <xf numFmtId="180" fontId="5" fillId="0" borderId="0" xfId="50" applyFont="1" applyFill="1" applyBorder="1" applyAlignment="1" applyProtection="1">
      <alignment horizontal="center" vertical="center"/>
    </xf>
    <xf numFmtId="4" fontId="5" fillId="0" borderId="39" xfId="50" applyNumberFormat="1" applyFont="1" applyFill="1" applyBorder="1" applyAlignment="1" applyProtection="1">
      <alignment horizontal="center" vertical="center"/>
    </xf>
    <xf numFmtId="4" fontId="20" fillId="0" borderId="24" xfId="0" applyNumberFormat="1" applyFont="1" applyBorder="1" applyAlignment="1">
      <alignment horizontal="center" vertical="center"/>
    </xf>
    <xf numFmtId="4" fontId="5" fillId="0" borderId="41" xfId="50" applyNumberFormat="1" applyFont="1" applyFill="1" applyBorder="1" applyAlignment="1" applyProtection="1">
      <alignment horizontal="center" vertical="center"/>
    </xf>
    <xf numFmtId="4" fontId="20" fillId="0" borderId="42" xfId="0" applyNumberFormat="1" applyFont="1" applyBorder="1" applyAlignment="1">
      <alignment horizontal="center" vertical="center"/>
    </xf>
    <xf numFmtId="4" fontId="20" fillId="0" borderId="26" xfId="0" applyNumberFormat="1" applyFont="1" applyBorder="1" applyAlignment="1">
      <alignment horizontal="center" vertical="center"/>
    </xf>
    <xf numFmtId="0" fontId="5" fillId="0" borderId="0" xfId="0" applyFont="1" applyAlignment="1">
      <alignment horizontal="left" vertical="center" wrapText="1"/>
    </xf>
    <xf numFmtId="0" fontId="20" fillId="15" borderId="92" xfId="0" applyFont="1" applyFill="1" applyBorder="1" applyAlignment="1">
      <alignment horizontal="center" vertical="center"/>
    </xf>
    <xf numFmtId="0" fontId="20" fillId="15" borderId="93" xfId="0" applyFont="1" applyFill="1" applyBorder="1" applyAlignment="1">
      <alignment horizontal="center" vertical="center"/>
    </xf>
    <xf numFmtId="0" fontId="20" fillId="15" borderId="94" xfId="0" applyFont="1" applyFill="1" applyBorder="1" applyAlignment="1">
      <alignment horizontal="center" vertical="center"/>
    </xf>
    <xf numFmtId="0" fontId="20" fillId="16" borderId="86" xfId="0" applyFont="1" applyFill="1" applyBorder="1" applyAlignment="1">
      <alignment horizontal="center" vertical="center"/>
    </xf>
    <xf numFmtId="0" fontId="20" fillId="16" borderId="2" xfId="0" applyFont="1" applyFill="1" applyBorder="1" applyAlignment="1">
      <alignment horizontal="center" vertical="center" wrapText="1"/>
    </xf>
    <xf numFmtId="0" fontId="20" fillId="16" borderId="59" xfId="0" applyFont="1" applyFill="1" applyBorder="1" applyAlignment="1">
      <alignment horizontal="center" vertical="center"/>
    </xf>
    <xf numFmtId="4" fontId="19" fillId="0" borderId="2" xfId="0" applyNumberFormat="1" applyFont="1" applyBorder="1" applyAlignment="1">
      <alignment horizontal="center" vertical="center"/>
    </xf>
    <xf numFmtId="4" fontId="20" fillId="0" borderId="2" xfId="0" applyNumberFormat="1" applyFont="1" applyBorder="1" applyAlignment="1">
      <alignment horizontal="center" vertical="center"/>
    </xf>
    <xf numFmtId="4" fontId="20" fillId="0" borderId="59" xfId="0" applyNumberFormat="1" applyFont="1" applyBorder="1" applyAlignment="1">
      <alignment horizontal="center" vertical="center"/>
    </xf>
    <xf numFmtId="4" fontId="19" fillId="0" borderId="65" xfId="0" applyNumberFormat="1" applyFont="1" applyBorder="1" applyAlignment="1">
      <alignment horizontal="center" vertical="center"/>
    </xf>
    <xf numFmtId="4" fontId="20" fillId="0" borderId="66" xfId="0" applyNumberFormat="1" applyFont="1" applyBorder="1" applyAlignment="1">
      <alignment horizontal="center" vertical="center"/>
    </xf>
    <xf numFmtId="4" fontId="19" fillId="0" borderId="24" xfId="0" applyNumberFormat="1" applyFont="1" applyBorder="1" applyAlignment="1">
      <alignment horizontal="center" vertical="center"/>
    </xf>
    <xf numFmtId="4" fontId="19" fillId="0" borderId="42" xfId="0" applyNumberFormat="1" applyFont="1" applyBorder="1" applyAlignment="1">
      <alignment horizontal="center" vertical="center"/>
    </xf>
    <xf numFmtId="4" fontId="19" fillId="0" borderId="26" xfId="0" applyNumberFormat="1" applyFont="1" applyBorder="1" applyAlignment="1">
      <alignment horizontal="center" vertical="center"/>
    </xf>
    <xf numFmtId="0" fontId="20" fillId="8" borderId="95" xfId="0" applyFont="1" applyFill="1" applyBorder="1" applyAlignment="1">
      <alignment horizontal="center" vertical="center" wrapText="1"/>
    </xf>
    <xf numFmtId="0" fontId="20" fillId="8" borderId="96" xfId="0" applyFont="1" applyFill="1" applyBorder="1" applyAlignment="1">
      <alignment horizontal="center" vertical="center" wrapText="1"/>
    </xf>
    <xf numFmtId="0" fontId="19" fillId="0" borderId="40" xfId="0" applyFont="1" applyBorder="1" applyAlignment="1">
      <alignment horizontal="center" vertical="center"/>
    </xf>
    <xf numFmtId="10" fontId="19" fillId="0" borderId="42" xfId="3" applyNumberFormat="1" applyFont="1" applyBorder="1" applyAlignment="1">
      <alignment horizontal="center" vertical="center"/>
    </xf>
    <xf numFmtId="0" fontId="19" fillId="0" borderId="25" xfId="0" applyFont="1" applyBorder="1" applyAlignment="1">
      <alignment horizontal="center" vertical="center"/>
    </xf>
    <xf numFmtId="10" fontId="19" fillId="0" borderId="26" xfId="3" applyNumberFormat="1" applyFont="1" applyBorder="1" applyAlignment="1">
      <alignment horizontal="center" vertical="center"/>
    </xf>
    <xf numFmtId="186" fontId="5" fillId="0" borderId="32" xfId="51" applyNumberFormat="1" applyFont="1" applyFill="1" applyBorder="1" applyAlignment="1" applyProtection="1">
      <alignment horizontal="center" vertical="center"/>
    </xf>
    <xf numFmtId="10" fontId="5" fillId="0" borderId="32" xfId="3" applyNumberFormat="1" applyFont="1" applyFill="1" applyBorder="1" applyAlignment="1" applyProtection="1">
      <alignment horizontal="center" vertical="center"/>
    </xf>
    <xf numFmtId="186" fontId="5" fillId="0" borderId="37" xfId="51" applyNumberFormat="1" applyFont="1" applyFill="1" applyBorder="1" applyAlignment="1" applyProtection="1">
      <alignment horizontal="center" vertical="center"/>
    </xf>
    <xf numFmtId="10" fontId="5" fillId="0" borderId="37" xfId="3" applyNumberFormat="1" applyFont="1" applyFill="1" applyBorder="1" applyAlignment="1" applyProtection="1">
      <alignment horizontal="center" vertical="center"/>
    </xf>
    <xf numFmtId="186" fontId="5" fillId="0" borderId="75" xfId="51" applyNumberFormat="1" applyFont="1" applyFill="1" applyBorder="1" applyAlignment="1" applyProtection="1">
      <alignment horizontal="center" vertical="center"/>
    </xf>
    <xf numFmtId="10" fontId="5" fillId="0" borderId="75" xfId="3" applyNumberFormat="1" applyFont="1" applyFill="1" applyBorder="1" applyAlignment="1" applyProtection="1">
      <alignment horizontal="center" vertical="center"/>
    </xf>
    <xf numFmtId="186" fontId="5" fillId="0" borderId="39" xfId="51" applyNumberFormat="1" applyFont="1" applyFill="1" applyBorder="1" applyAlignment="1" applyProtection="1">
      <alignment horizontal="center" vertical="center"/>
    </xf>
    <xf numFmtId="10" fontId="5" fillId="0" borderId="39" xfId="3" applyNumberFormat="1" applyFont="1" applyFill="1" applyBorder="1" applyAlignment="1" applyProtection="1">
      <alignment horizontal="center" vertical="center"/>
    </xf>
    <xf numFmtId="186" fontId="5" fillId="0" borderId="41" xfId="51" applyNumberFormat="1" applyFont="1" applyFill="1" applyBorder="1" applyAlignment="1" applyProtection="1">
      <alignment horizontal="center" vertical="center"/>
    </xf>
    <xf numFmtId="10" fontId="5" fillId="0" borderId="41" xfId="3" applyNumberFormat="1" applyFont="1" applyFill="1" applyBorder="1" applyAlignment="1" applyProtection="1">
      <alignment horizontal="center" vertical="center"/>
    </xf>
    <xf numFmtId="186" fontId="5" fillId="0" borderId="34" xfId="51" applyNumberFormat="1" applyFont="1" applyFill="1" applyBorder="1" applyAlignment="1" applyProtection="1">
      <alignment horizontal="center" vertical="center"/>
    </xf>
    <xf numFmtId="10" fontId="5" fillId="0" borderId="34" xfId="3" applyNumberFormat="1" applyFont="1" applyFill="1" applyBorder="1" applyAlignment="1" applyProtection="1">
      <alignment horizontal="center" vertical="center"/>
    </xf>
    <xf numFmtId="181" fontId="5" fillId="0" borderId="42" xfId="0" applyNumberFormat="1" applyFont="1" applyBorder="1" applyAlignment="1">
      <alignment horizontal="center" vertical="center"/>
    </xf>
    <xf numFmtId="0" fontId="21" fillId="0" borderId="25" xfId="0" applyFont="1" applyBorder="1" applyAlignment="1">
      <alignment horizontal="center" vertical="center" wrapText="1"/>
    </xf>
    <xf numFmtId="181" fontId="21" fillId="0" borderId="34" xfId="0" applyNumberFormat="1" applyFont="1" applyBorder="1" applyAlignment="1">
      <alignment horizontal="center" vertical="center"/>
    </xf>
    <xf numFmtId="181" fontId="21" fillId="0" borderId="26" xfId="0" applyNumberFormat="1" applyFont="1" applyBorder="1" applyAlignment="1">
      <alignment horizontal="center" vertical="center"/>
    </xf>
    <xf numFmtId="181" fontId="9" fillId="8" borderId="35" xfId="0" applyNumberFormat="1" applyFont="1" applyFill="1" applyBorder="1" applyAlignment="1">
      <alignment horizontal="center" vertical="center"/>
    </xf>
    <xf numFmtId="181" fontId="9" fillId="8" borderId="22" xfId="0" applyNumberFormat="1" applyFont="1" applyFill="1" applyBorder="1" applyAlignment="1">
      <alignment horizontal="center" vertical="center"/>
    </xf>
    <xf numFmtId="0" fontId="22" fillId="0" borderId="0" xfId="0" applyFont="1"/>
    <xf numFmtId="0" fontId="23" fillId="17" borderId="97" xfId="0" applyFont="1" applyFill="1" applyBorder="1" applyAlignment="1">
      <alignment wrapText="1"/>
    </xf>
    <xf numFmtId="0" fontId="22" fillId="18" borderId="0" xfId="0" applyFont="1" applyFill="1" applyAlignment="1">
      <alignment wrapText="1"/>
    </xf>
    <xf numFmtId="0" fontId="22" fillId="18" borderId="89" xfId="0" applyFont="1" applyFill="1" applyBorder="1" applyAlignment="1">
      <alignment wrapText="1"/>
    </xf>
    <xf numFmtId="0" fontId="23" fillId="17" borderId="98" xfId="0" applyFont="1" applyFill="1" applyBorder="1" applyAlignment="1">
      <alignment wrapText="1"/>
    </xf>
    <xf numFmtId="0" fontId="23" fillId="19" borderId="99" xfId="0" applyFont="1" applyFill="1" applyBorder="1" applyAlignment="1">
      <alignment wrapText="1"/>
    </xf>
    <xf numFmtId="0" fontId="23" fillId="20" borderId="43" xfId="0" applyFont="1" applyFill="1" applyBorder="1"/>
    <xf numFmtId="0" fontId="23" fillId="21" borderId="100" xfId="0" applyFont="1" applyFill="1" applyBorder="1" applyAlignment="1">
      <alignment wrapText="1"/>
    </xf>
    <xf numFmtId="0" fontId="23" fillId="21" borderId="45" xfId="0" applyFont="1" applyFill="1" applyBorder="1" applyAlignment="1">
      <alignment vertical="center" wrapText="1"/>
    </xf>
    <xf numFmtId="0" fontId="22" fillId="0" borderId="55" xfId="0" applyFont="1" applyBorder="1"/>
    <xf numFmtId="0" fontId="22" fillId="0" borderId="56" xfId="0" applyFont="1" applyBorder="1"/>
    <xf numFmtId="0" fontId="22" fillId="0" borderId="57" xfId="0" applyFont="1" applyBorder="1"/>
    <xf numFmtId="0" fontId="23" fillId="21" borderId="86" xfId="0" applyFont="1" applyFill="1" applyBorder="1" applyAlignment="1">
      <alignment wrapText="1"/>
    </xf>
    <xf numFmtId="0" fontId="23" fillId="21" borderId="2" xfId="0" applyFont="1" applyFill="1" applyBorder="1" applyAlignment="1">
      <alignment wrapText="1"/>
    </xf>
    <xf numFmtId="187" fontId="23" fillId="21" borderId="2" xfId="0" applyNumberFormat="1" applyFont="1" applyFill="1" applyBorder="1" applyAlignment="1">
      <alignment wrapText="1"/>
    </xf>
    <xf numFmtId="187" fontId="23" fillId="21" borderId="59" xfId="0" applyNumberFormat="1" applyFont="1" applyFill="1" applyBorder="1" applyAlignment="1">
      <alignment wrapText="1"/>
    </xf>
    <xf numFmtId="0" fontId="22" fillId="18" borderId="101" xfId="0" applyFont="1" applyFill="1" applyBorder="1" applyAlignment="1">
      <alignment wrapText="1"/>
    </xf>
    <xf numFmtId="0" fontId="23" fillId="18" borderId="2" xfId="0" applyFont="1" applyFill="1" applyBorder="1" applyAlignment="1">
      <alignment wrapText="1"/>
    </xf>
    <xf numFmtId="0" fontId="24" fillId="22" borderId="0" xfId="0" applyFont="1" applyFill="1" applyAlignment="1">
      <alignment wrapText="1"/>
    </xf>
    <xf numFmtId="187" fontId="24" fillId="22" borderId="102" xfId="0" applyNumberFormat="1" applyFont="1" applyFill="1" applyBorder="1" applyAlignment="1">
      <alignment wrapText="1"/>
    </xf>
    <xf numFmtId="0" fontId="3" fillId="0" borderId="102" xfId="0" applyFont="1" applyBorder="1"/>
    <xf numFmtId="0" fontId="22" fillId="0" borderId="101" xfId="0" applyFont="1" applyBorder="1"/>
    <xf numFmtId="0" fontId="22" fillId="0" borderId="102" xfId="0" applyFont="1" applyBorder="1"/>
    <xf numFmtId="0" fontId="22" fillId="18" borderId="88" xfId="0" applyFont="1" applyFill="1" applyBorder="1" applyAlignment="1">
      <alignment wrapText="1"/>
    </xf>
    <xf numFmtId="0" fontId="23" fillId="18" borderId="103" xfId="0" applyFont="1" applyFill="1" applyBorder="1" applyAlignment="1">
      <alignment wrapText="1"/>
    </xf>
    <xf numFmtId="0" fontId="24" fillId="22" borderId="89" xfId="0" applyFont="1" applyFill="1" applyBorder="1" applyAlignment="1">
      <alignment wrapText="1"/>
    </xf>
    <xf numFmtId="187" fontId="24" fillId="22" borderId="104" xfId="0" applyNumberFormat="1" applyFont="1" applyFill="1" applyBorder="1" applyAlignment="1">
      <alignment wrapText="1"/>
    </xf>
    <xf numFmtId="0" fontId="23" fillId="18" borderId="0" xfId="0" applyFont="1" applyFill="1" applyAlignment="1">
      <alignment wrapText="1"/>
    </xf>
    <xf numFmtId="0" fontId="23" fillId="0" borderId="0" xfId="0" applyFont="1" applyAlignment="1">
      <alignment wrapText="1"/>
    </xf>
    <xf numFmtId="0" fontId="23" fillId="21" borderId="45" xfId="0" applyFont="1" applyFill="1" applyBorder="1" applyAlignment="1">
      <alignment wrapText="1"/>
    </xf>
    <xf numFmtId="0" fontId="23" fillId="18" borderId="101" xfId="0" applyFont="1" applyFill="1" applyBorder="1" applyAlignment="1">
      <alignment wrapText="1"/>
    </xf>
    <xf numFmtId="49" fontId="23" fillId="21" borderId="2" xfId="0" applyNumberFormat="1" applyFont="1" applyFill="1" applyBorder="1" applyAlignment="1">
      <alignment wrapText="1"/>
    </xf>
    <xf numFmtId="187" fontId="23" fillId="21" borderId="105" xfId="0" applyNumberFormat="1" applyFont="1" applyFill="1" applyBorder="1" applyAlignment="1">
      <alignment wrapText="1"/>
    </xf>
    <xf numFmtId="0" fontId="23" fillId="18" borderId="3" xfId="0" applyFont="1" applyFill="1" applyBorder="1" applyAlignment="1">
      <alignment wrapText="1"/>
    </xf>
    <xf numFmtId="0" fontId="22" fillId="0" borderId="89" xfId="0" applyFont="1" applyBorder="1"/>
    <xf numFmtId="0" fontId="23" fillId="20" borderId="106" xfId="0" applyFont="1" applyFill="1" applyBorder="1"/>
    <xf numFmtId="0" fontId="23" fillId="21" borderId="8" xfId="0" applyFont="1" applyFill="1" applyBorder="1" applyAlignment="1">
      <alignment wrapText="1"/>
    </xf>
    <xf numFmtId="0" fontId="4" fillId="20" borderId="8" xfId="0" applyFont="1" applyFill="1" applyBorder="1" applyAlignment="1">
      <alignment wrapText="1"/>
    </xf>
    <xf numFmtId="0" fontId="23" fillId="21" borderId="107" xfId="0" applyFont="1" applyFill="1" applyBorder="1" applyAlignment="1">
      <alignment wrapText="1"/>
    </xf>
    <xf numFmtId="0" fontId="23" fillId="0" borderId="101" xfId="0" applyFont="1" applyBorder="1"/>
    <xf numFmtId="0" fontId="4" fillId="0" borderId="0" xfId="0" applyFont="1" applyAlignment="1">
      <alignment wrapText="1"/>
    </xf>
    <xf numFmtId="0" fontId="23" fillId="18" borderId="102" xfId="0" applyFont="1" applyFill="1" applyBorder="1" applyAlignment="1">
      <alignment wrapText="1"/>
    </xf>
    <xf numFmtId="0" fontId="23" fillId="20" borderId="86" xfId="0" applyFont="1" applyFill="1" applyBorder="1" applyAlignment="1">
      <alignment wrapText="1"/>
    </xf>
    <xf numFmtId="0" fontId="4" fillId="20" borderId="2" xfId="0" applyFont="1" applyFill="1" applyBorder="1"/>
    <xf numFmtId="0" fontId="3" fillId="0" borderId="2" xfId="0" applyFont="1" applyBorder="1"/>
    <xf numFmtId="0" fontId="24" fillId="22" borderId="2" xfId="0" applyFont="1" applyFill="1" applyBorder="1" applyAlignment="1">
      <alignment wrapText="1"/>
    </xf>
    <xf numFmtId="187" fontId="24" fillId="22" borderId="59" xfId="0" applyNumberFormat="1" applyFont="1" applyFill="1" applyBorder="1" applyAlignment="1">
      <alignment wrapText="1"/>
    </xf>
    <xf numFmtId="0" fontId="23" fillId="20" borderId="86" xfId="0" applyFont="1" applyFill="1" applyBorder="1"/>
    <xf numFmtId="0" fontId="23" fillId="18" borderId="88" xfId="0" applyFont="1" applyFill="1" applyBorder="1" applyAlignment="1">
      <alignment wrapText="1"/>
    </xf>
    <xf numFmtId="0" fontId="23" fillId="18" borderId="65" xfId="0" applyFont="1" applyFill="1" applyBorder="1" applyAlignment="1">
      <alignment wrapText="1"/>
    </xf>
    <xf numFmtId="0" fontId="3" fillId="0" borderId="65" xfId="0" applyFont="1" applyBorder="1"/>
    <xf numFmtId="0" fontId="24" fillId="22" borderId="65" xfId="0" applyFont="1" applyFill="1" applyBorder="1" applyAlignment="1">
      <alignment wrapText="1"/>
    </xf>
    <xf numFmtId="187" fontId="24" fillId="22" borderId="66" xfId="0" applyNumberFormat="1" applyFont="1" applyFill="1" applyBorder="1" applyAlignment="1">
      <alignment wrapText="1"/>
    </xf>
    <xf numFmtId="0" fontId="23" fillId="17" borderId="43" xfId="0" applyFont="1" applyFill="1" applyBorder="1" applyAlignment="1">
      <alignment wrapText="1"/>
    </xf>
    <xf numFmtId="0" fontId="23" fillId="17" borderId="44" xfId="0" applyFont="1" applyFill="1" applyBorder="1" applyAlignment="1">
      <alignment wrapText="1"/>
    </xf>
    <xf numFmtId="0" fontId="23" fillId="17" borderId="45" xfId="0" applyFont="1" applyFill="1" applyBorder="1" applyAlignment="1">
      <alignment wrapText="1"/>
    </xf>
    <xf numFmtId="0" fontId="23" fillId="23" borderId="84" xfId="0" applyFont="1" applyFill="1" applyBorder="1" applyAlignment="1">
      <alignment wrapText="1"/>
    </xf>
    <xf numFmtId="0" fontId="23" fillId="23" borderId="79" xfId="0" applyFont="1" applyFill="1" applyBorder="1" applyAlignment="1">
      <alignment wrapText="1"/>
    </xf>
    <xf numFmtId="0" fontId="23" fillId="23" borderId="85" xfId="0" applyFont="1" applyFill="1" applyBorder="1" applyAlignment="1">
      <alignment wrapText="1"/>
    </xf>
    <xf numFmtId="0" fontId="23" fillId="24" borderId="86" xfId="0" applyFont="1" applyFill="1" applyBorder="1" applyAlignment="1">
      <alignment wrapText="1"/>
    </xf>
    <xf numFmtId="0" fontId="23" fillId="24" borderId="2" xfId="0" applyFont="1" applyFill="1" applyBorder="1" applyAlignment="1">
      <alignment wrapText="1"/>
    </xf>
    <xf numFmtId="187" fontId="23" fillId="24" borderId="2" xfId="0" applyNumberFormat="1" applyFont="1" applyFill="1" applyBorder="1" applyAlignment="1">
      <alignment wrapText="1"/>
    </xf>
    <xf numFmtId="4" fontId="23" fillId="24" borderId="59" xfId="0" applyNumberFormat="1" applyFont="1" applyFill="1" applyBorder="1" applyAlignment="1">
      <alignment wrapText="1"/>
    </xf>
    <xf numFmtId="187" fontId="23" fillId="24" borderId="59" xfId="0" applyNumberFormat="1" applyFont="1" applyFill="1" applyBorder="1" applyAlignment="1">
      <alignment wrapText="1"/>
    </xf>
    <xf numFmtId="0" fontId="23" fillId="25" borderId="86" xfId="0" applyFont="1" applyFill="1" applyBorder="1" applyAlignment="1">
      <alignment wrapText="1"/>
    </xf>
    <xf numFmtId="0" fontId="23" fillId="25" borderId="2" xfId="0" applyFont="1" applyFill="1" applyBorder="1" applyAlignment="1">
      <alignment wrapText="1"/>
    </xf>
    <xf numFmtId="187" fontId="23" fillId="25" borderId="2" xfId="0" applyNumberFormat="1" applyFont="1" applyFill="1" applyBorder="1" applyAlignment="1">
      <alignment wrapText="1"/>
    </xf>
    <xf numFmtId="187" fontId="23" fillId="25" borderId="59" xfId="0" applyNumberFormat="1" applyFont="1" applyFill="1" applyBorder="1" applyAlignment="1">
      <alignment wrapText="1"/>
    </xf>
    <xf numFmtId="3" fontId="23" fillId="25" borderId="2" xfId="0" applyNumberFormat="1" applyFont="1" applyFill="1" applyBorder="1" applyAlignment="1">
      <alignment wrapText="1"/>
    </xf>
    <xf numFmtId="4" fontId="23" fillId="25" borderId="59" xfId="0" applyNumberFormat="1" applyFont="1" applyFill="1" applyBorder="1" applyAlignment="1">
      <alignment wrapText="1"/>
    </xf>
    <xf numFmtId="0" fontId="23" fillId="26" borderId="86" xfId="0" applyFont="1" applyFill="1" applyBorder="1" applyAlignment="1">
      <alignment wrapText="1"/>
    </xf>
    <xf numFmtId="0" fontId="23" fillId="26" borderId="2" xfId="0" applyFont="1" applyFill="1" applyBorder="1" applyAlignment="1">
      <alignment wrapText="1"/>
    </xf>
    <xf numFmtId="187" fontId="23" fillId="26" borderId="2" xfId="0" applyNumberFormat="1" applyFont="1" applyFill="1" applyBorder="1" applyAlignment="1">
      <alignment wrapText="1"/>
    </xf>
    <xf numFmtId="187" fontId="23" fillId="26" borderId="59" xfId="0" applyNumberFormat="1" applyFont="1" applyFill="1" applyBorder="1" applyAlignment="1">
      <alignment wrapText="1"/>
    </xf>
    <xf numFmtId="0" fontId="23" fillId="26" borderId="108" xfId="0" applyFont="1" applyFill="1" applyBorder="1" applyAlignment="1">
      <alignment wrapText="1"/>
    </xf>
    <xf numFmtId="0" fontId="23" fillId="26" borderId="6" xfId="0" applyFont="1" applyFill="1" applyBorder="1" applyAlignment="1">
      <alignment wrapText="1"/>
    </xf>
    <xf numFmtId="187" fontId="23" fillId="26" borderId="6" xfId="0" applyNumberFormat="1" applyFont="1" applyFill="1" applyBorder="1" applyAlignment="1">
      <alignment wrapText="1"/>
    </xf>
    <xf numFmtId="187" fontId="23" fillId="26" borderId="105" xfId="0" applyNumberFormat="1" applyFont="1" applyFill="1" applyBorder="1" applyAlignment="1">
      <alignment wrapText="1"/>
    </xf>
    <xf numFmtId="0" fontId="23" fillId="18" borderId="43" xfId="0" applyFont="1" applyFill="1" applyBorder="1" applyAlignment="1">
      <alignment wrapText="1"/>
    </xf>
    <xf numFmtId="0" fontId="23" fillId="18" borderId="44" xfId="0" applyFont="1" applyFill="1" applyBorder="1" applyAlignment="1">
      <alignment wrapText="1"/>
    </xf>
    <xf numFmtId="0" fontId="23" fillId="18" borderId="45" xfId="0" applyFont="1" applyFill="1" applyBorder="1" applyAlignment="1">
      <alignment wrapText="1"/>
    </xf>
    <xf numFmtId="187" fontId="23" fillId="18" borderId="99" xfId="0" applyNumberFormat="1" applyFont="1" applyFill="1" applyBorder="1" applyAlignment="1">
      <alignment wrapText="1"/>
    </xf>
    <xf numFmtId="0" fontId="23" fillId="27" borderId="99" xfId="0" applyFont="1" applyFill="1" applyBorder="1"/>
    <xf numFmtId="0" fontId="23" fillId="18" borderId="99" xfId="0" applyFont="1" applyFill="1" applyBorder="1" applyAlignment="1">
      <alignment wrapText="1"/>
    </xf>
    <xf numFmtId="0" fontId="23" fillId="0" borderId="99" xfId="0" applyFont="1" applyBorder="1"/>
    <xf numFmtId="0" fontId="22" fillId="0" borderId="0" xfId="0" applyFont="1" applyAlignment="1">
      <alignment wrapText="1"/>
    </xf>
    <xf numFmtId="0" fontId="0" fillId="0" borderId="0" xfId="0" applyAlignment="1">
      <alignment horizontal="center" wrapText="1"/>
    </xf>
    <xf numFmtId="0" fontId="0" fillId="0" borderId="0" xfId="0" applyAlignment="1">
      <alignment horizontal="center"/>
    </xf>
    <xf numFmtId="0" fontId="25" fillId="0" borderId="0" xfId="0" applyFont="1" applyAlignment="1">
      <alignment horizontal="center" vertical="center"/>
    </xf>
    <xf numFmtId="0" fontId="26" fillId="28" borderId="109" xfId="0" applyFont="1" applyFill="1" applyBorder="1" applyAlignment="1">
      <alignment horizontal="center" vertical="center" wrapText="1"/>
    </xf>
    <xf numFmtId="0" fontId="27" fillId="28" borderId="109" xfId="0" applyFont="1" applyFill="1" applyBorder="1" applyAlignment="1">
      <alignment horizontal="center" vertical="center" wrapText="1"/>
    </xf>
    <xf numFmtId="0" fontId="0" fillId="0" borderId="0" xfId="0" applyAlignment="1">
      <alignment horizontal="center" vertical="center"/>
    </xf>
    <xf numFmtId="0" fontId="28" fillId="0" borderId="0" xfId="0" applyFont="1" applyAlignment="1">
      <alignment horizontal="center" vertical="center" wrapText="1"/>
    </xf>
    <xf numFmtId="0" fontId="28" fillId="0" borderId="0" xfId="0" applyFont="1" applyAlignment="1">
      <alignment horizontal="center" vertical="center"/>
    </xf>
    <xf numFmtId="4" fontId="28" fillId="0" borderId="0" xfId="0" applyNumberFormat="1" applyFont="1" applyAlignment="1">
      <alignment horizontal="center" vertical="center"/>
    </xf>
    <xf numFmtId="0" fontId="29" fillId="28" borderId="0" xfId="0" applyFont="1" applyFill="1" applyAlignment="1">
      <alignment horizontal="right"/>
    </xf>
    <xf numFmtId="0" fontId="0" fillId="0" borderId="0" xfId="0" applyAlignment="1"/>
    <xf numFmtId="4" fontId="29" fillId="28" borderId="0" xfId="0" applyNumberFormat="1" applyFont="1" applyFill="1" applyAlignment="1">
      <alignment horizontal="center"/>
    </xf>
    <xf numFmtId="0" fontId="2" fillId="0" borderId="1" xfId="0" applyFont="1" applyBorder="1" applyAlignment="1">
      <alignment horizontal="center"/>
    </xf>
    <xf numFmtId="0" fontId="1" fillId="2" borderId="2" xfId="0" applyFont="1" applyFill="1" applyBorder="1" applyAlignment="1">
      <alignment horizontal="center" vertical="center" wrapText="1"/>
    </xf>
    <xf numFmtId="0" fontId="1" fillId="2" borderId="2" xfId="0" applyFont="1" applyFill="1" applyBorder="1" applyAlignment="1">
      <alignment vertical="center" wrapText="1"/>
    </xf>
    <xf numFmtId="0" fontId="1" fillId="0" borderId="2" xfId="0" applyFont="1" applyBorder="1" applyAlignment="1">
      <alignment vertical="center" wrapText="1"/>
    </xf>
    <xf numFmtId="176" fontId="1" fillId="0" borderId="2" xfId="0" applyNumberFormat="1" applyFont="1" applyBorder="1" applyAlignment="1">
      <alignment vertical="center" wrapText="1"/>
    </xf>
    <xf numFmtId="187" fontId="1" fillId="0" borderId="2" xfId="0" applyNumberFormat="1" applyFont="1" applyBorder="1" applyAlignment="1">
      <alignment vertical="center" wrapText="1"/>
    </xf>
    <xf numFmtId="0" fontId="1" fillId="3" borderId="2" xfId="0" applyFont="1" applyFill="1" applyBorder="1" applyAlignment="1">
      <alignment vertical="center" wrapText="1"/>
    </xf>
    <xf numFmtId="176" fontId="1" fillId="3" borderId="2" xfId="0" applyNumberFormat="1" applyFont="1" applyFill="1" applyBorder="1" applyAlignment="1">
      <alignment vertical="center" wrapText="1"/>
    </xf>
    <xf numFmtId="187" fontId="1" fillId="3" borderId="2" xfId="0" applyNumberFormat="1" applyFont="1" applyFill="1" applyBorder="1" applyAlignment="1">
      <alignment vertical="center" wrapText="1"/>
    </xf>
    <xf numFmtId="187" fontId="1" fillId="14" borderId="2" xfId="0" applyNumberFormat="1" applyFont="1" applyFill="1" applyBorder="1" applyAlignment="1">
      <alignment vertical="center" wrapText="1"/>
    </xf>
    <xf numFmtId="0" fontId="1" fillId="2" borderId="3" xfId="0" applyFont="1" applyFill="1" applyBorder="1" applyAlignment="1">
      <alignment horizontal="right"/>
    </xf>
    <xf numFmtId="0" fontId="1" fillId="2" borderId="4" xfId="0" applyFont="1" applyFill="1" applyBorder="1" applyAlignment="1">
      <alignment horizontal="right"/>
    </xf>
    <xf numFmtId="0" fontId="1" fillId="2" borderId="5" xfId="0" applyFont="1" applyFill="1" applyBorder="1" applyAlignment="1">
      <alignment horizontal="right"/>
    </xf>
    <xf numFmtId="187" fontId="1" fillId="2" borderId="2" xfId="0" applyNumberFormat="1" applyFont="1" applyFill="1" applyBorder="1"/>
    <xf numFmtId="0" fontId="30" fillId="29" borderId="43" xfId="0" applyFont="1" applyFill="1" applyBorder="1" applyAlignment="1">
      <alignment horizontal="center" vertical="center"/>
    </xf>
    <xf numFmtId="0" fontId="30" fillId="29" borderId="44" xfId="0" applyFont="1" applyFill="1" applyBorder="1" applyAlignment="1">
      <alignment horizontal="center" vertical="center"/>
    </xf>
    <xf numFmtId="0" fontId="30" fillId="29" borderId="45" xfId="0" applyFont="1" applyFill="1" applyBorder="1" applyAlignment="1">
      <alignment horizontal="center" vertical="center"/>
    </xf>
    <xf numFmtId="0" fontId="1" fillId="2" borderId="106"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07" xfId="0" applyFont="1" applyFill="1" applyBorder="1" applyAlignment="1">
      <alignment horizontal="center" vertical="center" wrapText="1"/>
    </xf>
    <xf numFmtId="0" fontId="1" fillId="0" borderId="87" xfId="0" applyFont="1" applyBorder="1" applyAlignment="1">
      <alignment horizontal="center" vertical="center"/>
    </xf>
    <xf numFmtId="0" fontId="1" fillId="0" borderId="65" xfId="0" applyFont="1" applyBorder="1" applyAlignment="1">
      <alignment horizontal="center" vertical="center"/>
    </xf>
    <xf numFmtId="0" fontId="13" fillId="0" borderId="65" xfId="0" applyFont="1" applyBorder="1" applyAlignment="1">
      <alignment horizontal="center" vertical="center" wrapText="1"/>
    </xf>
    <xf numFmtId="187" fontId="1" fillId="0" borderId="65" xfId="0" applyNumberFormat="1" applyFont="1" applyBorder="1" applyAlignment="1">
      <alignment horizontal="center" vertical="center"/>
    </xf>
    <xf numFmtId="188" fontId="1" fillId="0" borderId="65" xfId="0" applyNumberFormat="1" applyFont="1" applyBorder="1" applyAlignment="1">
      <alignment horizontal="center" vertical="center"/>
    </xf>
    <xf numFmtId="187" fontId="1" fillId="0" borderId="66" xfId="0" applyNumberFormat="1" applyFont="1" applyBorder="1" applyAlignment="1">
      <alignment horizontal="center" vertical="center"/>
    </xf>
    <xf numFmtId="0" fontId="30" fillId="29" borderId="2" xfId="0" applyFont="1" applyFill="1" applyBorder="1" applyAlignment="1">
      <alignment horizontal="center" vertical="center"/>
    </xf>
    <xf numFmtId="0" fontId="2" fillId="2" borderId="10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07" xfId="0" applyFont="1" applyFill="1" applyBorder="1" applyAlignment="1">
      <alignment horizontal="center" vertical="center" wrapText="1"/>
    </xf>
    <xf numFmtId="0" fontId="2" fillId="0" borderId="87" xfId="0" applyFont="1" applyBorder="1" applyAlignment="1">
      <alignment horizontal="center" vertical="center"/>
    </xf>
    <xf numFmtId="0" fontId="2" fillId="0" borderId="65" xfId="0" applyFont="1" applyBorder="1" applyAlignment="1">
      <alignment horizontal="center" vertical="center"/>
    </xf>
    <xf numFmtId="0" fontId="31" fillId="0" borderId="65" xfId="0" applyFont="1" applyBorder="1" applyAlignment="1">
      <alignment horizontal="center" vertical="center" wrapText="1"/>
    </xf>
    <xf numFmtId="187" fontId="2" fillId="3" borderId="65" xfId="0" applyNumberFormat="1" applyFont="1" applyFill="1" applyBorder="1" applyAlignment="1">
      <alignment horizontal="center" vertical="center"/>
    </xf>
    <xf numFmtId="187" fontId="2" fillId="0" borderId="66" xfId="0" applyNumberFormat="1" applyFont="1" applyBorder="1" applyAlignment="1">
      <alignment horizontal="center" vertical="center"/>
    </xf>
    <xf numFmtId="0" fontId="22" fillId="0" borderId="0" xfId="0" applyFont="1" applyAlignment="1">
      <alignment horizontal="right" vertical="top"/>
    </xf>
    <xf numFmtId="0" fontId="22" fillId="0" borderId="0" xfId="0" applyFont="1" applyAlignment="1">
      <alignment horizontal="center" wrapText="1"/>
    </xf>
    <xf numFmtId="189" fontId="0" fillId="0" borderId="0" xfId="0" applyNumberFormat="1"/>
    <xf numFmtId="0" fontId="32" fillId="5" borderId="0" xfId="0" applyFont="1" applyFill="1" applyAlignment="1">
      <alignment wrapText="1"/>
    </xf>
    <xf numFmtId="187" fontId="1" fillId="0" borderId="0" xfId="0" applyNumberFormat="1" applyFont="1"/>
    <xf numFmtId="187" fontId="2" fillId="3" borderId="66" xfId="0" applyNumberFormat="1" applyFont="1" applyFill="1" applyBorder="1" applyAlignment="1">
      <alignment horizontal="center" vertical="center"/>
    </xf>
    <xf numFmtId="0" fontId="13" fillId="0" borderId="2" xfId="0" applyFont="1" applyFill="1" applyBorder="1" applyAlignment="1" quotePrefix="1">
      <alignment wrapText="1"/>
    </xf>
    <xf numFmtId="0" fontId="13" fillId="0" borderId="3" xfId="0" applyFont="1" applyFill="1" applyBorder="1" applyAlignment="1" quotePrefix="1"/>
    <xf numFmtId="0" fontId="14" fillId="0" borderId="6" xfId="0" applyFont="1" applyFill="1" applyBorder="1" applyAlignment="1" quotePrefix="1">
      <alignment wrapText="1"/>
    </xf>
    <xf numFmtId="0" fontId="14" fillId="0" borderId="9" xfId="0" applyFont="1" applyFill="1" applyBorder="1" applyAlignment="1" quotePrefix="1"/>
    <xf numFmtId="0" fontId="1" fillId="5" borderId="6" xfId="0" applyFont="1" applyFill="1" applyBorder="1" applyAlignment="1" quotePrefix="1">
      <alignment wrapText="1"/>
    </xf>
    <xf numFmtId="0" fontId="1" fillId="5" borderId="2" xfId="0" applyFont="1" applyFill="1" applyBorder="1" applyAlignment="1" quotePrefix="1">
      <alignment wrapText="1"/>
    </xf>
    <xf numFmtId="0" fontId="1" fillId="0" borderId="2" xfId="0" applyFont="1" applyBorder="1" applyAlignment="1" quotePrefix="1">
      <alignment wrapText="1"/>
    </xf>
  </cellXfs>
  <cellStyles count="58">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 name="Normal 2" xfId="49"/>
    <cellStyle name="Vírgula 2" xfId="50"/>
    <cellStyle name="Vírgula 3" xfId="51"/>
    <cellStyle name="Vírgula 3 2" xfId="52"/>
    <cellStyle name="Vírgula 4" xfId="53"/>
    <cellStyle name="Vírgula 4 2" xfId="54"/>
    <cellStyle name="Vírgula 5" xfId="55"/>
    <cellStyle name="Vírgula 5 2" xfId="56"/>
    <cellStyle name="Vírgula 6"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590550</xdr:colOff>
      <xdr:row>0</xdr:row>
      <xdr:rowOff>57150</xdr:rowOff>
    </xdr:from>
    <xdr:to>
      <xdr:col>4</xdr:col>
      <xdr:colOff>371475</xdr:colOff>
      <xdr:row>0</xdr:row>
      <xdr:rowOff>876300</xdr:rowOff>
    </xdr:to>
    <xdr:pic>
      <xdr:nvPicPr>
        <xdr:cNvPr id="2" name="Imagem 1"/>
        <xdr:cNvPicPr>
          <a:picLocks noChangeAspect="1"/>
        </xdr:cNvPicPr>
      </xdr:nvPicPr>
      <xdr:blipFill>
        <a:blip r:embed="rId1"/>
        <a:stretch>
          <a:fillRect/>
        </a:stretch>
      </xdr:blipFill>
      <xdr:spPr>
        <a:xfrm>
          <a:off x="4042410" y="57150"/>
          <a:ext cx="878205" cy="819150"/>
        </a:xfrm>
        <a:prstGeom prst="rect">
          <a:avLst/>
        </a:prstGeom>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2324100</xdr:colOff>
      <xdr:row>0</xdr:row>
      <xdr:rowOff>0</xdr:rowOff>
    </xdr:from>
    <xdr:to>
      <xdr:col>3</xdr:col>
      <xdr:colOff>819150</xdr:colOff>
      <xdr:row>1</xdr:row>
      <xdr:rowOff>9525</xdr:rowOff>
    </xdr:to>
    <xdr:pic>
      <xdr:nvPicPr>
        <xdr:cNvPr id="2" name="Imagem 1"/>
        <xdr:cNvPicPr>
          <a:picLocks noChangeAspect="1"/>
        </xdr:cNvPicPr>
      </xdr:nvPicPr>
      <xdr:blipFill>
        <a:blip r:embed="rId1"/>
        <a:stretch>
          <a:fillRect/>
        </a:stretch>
      </xdr:blipFill>
      <xdr:spPr>
        <a:xfrm>
          <a:off x="3581400" y="0"/>
          <a:ext cx="939800" cy="81915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1"/>
  <sheetViews>
    <sheetView zoomScale="90" zoomScaleNormal="90" topLeftCell="A31" workbookViewId="0">
      <selection activeCell="H7" sqref="H7"/>
    </sheetView>
  </sheetViews>
  <sheetFormatPr defaultColWidth="9" defaultRowHeight="14.5"/>
  <cols>
    <col min="2" max="2" width="14.2818181818182" customWidth="1"/>
    <col min="3" max="3" width="26.1363636363636" customWidth="1"/>
    <col min="4" max="4" width="15.7090909090909" customWidth="1"/>
    <col min="5" max="5" width="11.4272727272727" customWidth="1"/>
    <col min="6" max="6" width="15.4272727272727" customWidth="1"/>
    <col min="7" max="7" width="10.8545454545455" customWidth="1"/>
    <col min="8" max="8" width="14.5727272727273" customWidth="1"/>
    <col min="9" max="9" width="16.7090909090909" customWidth="1"/>
  </cols>
  <sheetData>
    <row r="1" customFormat="1" ht="96.75" customHeight="1" spans="1:9">
      <c r="A1" s="493" t="s">
        <v>0</v>
      </c>
      <c r="B1" s="493"/>
      <c r="C1" s="493"/>
      <c r="D1" s="493"/>
      <c r="E1" s="493"/>
      <c r="F1" s="493"/>
      <c r="G1" s="493"/>
      <c r="H1" s="493"/>
      <c r="I1" s="493"/>
    </row>
    <row r="2" customFormat="1" ht="23.5" spans="1:8">
      <c r="A2" s="495" t="s">
        <v>1</v>
      </c>
      <c r="B2" s="495"/>
      <c r="C2" s="495"/>
      <c r="D2" s="495"/>
      <c r="E2" s="495"/>
      <c r="F2" s="495"/>
      <c r="G2" s="495"/>
      <c r="H2" s="495"/>
    </row>
    <row r="4" customFormat="1" ht="15.25" spans="1:13">
      <c r="A4" s="505" t="s">
        <v>2</v>
      </c>
      <c r="B4" s="505"/>
      <c r="C4" s="505"/>
      <c r="D4" s="505"/>
      <c r="E4" s="505"/>
      <c r="F4" s="505"/>
      <c r="G4" s="2"/>
      <c r="H4" s="2"/>
      <c r="I4" s="2"/>
      <c r="J4" s="2"/>
      <c r="K4" s="2"/>
      <c r="L4" s="2"/>
      <c r="M4" s="2"/>
    </row>
    <row r="5" customFormat="1" ht="15.25" spans="1:13">
      <c r="A5" s="2"/>
      <c r="B5" s="2"/>
      <c r="C5" s="2"/>
      <c r="D5" s="2"/>
      <c r="E5" s="2"/>
      <c r="F5" s="2"/>
      <c r="G5" s="2"/>
      <c r="H5" s="2"/>
      <c r="I5" s="2"/>
      <c r="J5" s="2"/>
      <c r="K5" s="2"/>
      <c r="L5" s="2"/>
      <c r="M5" s="2"/>
    </row>
    <row r="6" customFormat="1" ht="28" spans="1:13">
      <c r="A6" s="506" t="s">
        <v>3</v>
      </c>
      <c r="B6" s="506" t="s">
        <v>4</v>
      </c>
      <c r="C6" s="506" t="s">
        <v>5</v>
      </c>
      <c r="D6" s="506" t="s">
        <v>6</v>
      </c>
      <c r="E6" s="506" t="s">
        <v>7</v>
      </c>
      <c r="F6" s="506" t="s">
        <v>8</v>
      </c>
      <c r="G6" s="2"/>
      <c r="H6" s="2"/>
      <c r="I6" s="543"/>
      <c r="J6" s="2"/>
      <c r="K6" s="2"/>
      <c r="L6" s="2"/>
      <c r="M6" s="2"/>
    </row>
    <row r="7" customFormat="1" spans="1:13">
      <c r="A7" s="507">
        <v>1</v>
      </c>
      <c r="B7" s="508" t="s">
        <v>9</v>
      </c>
      <c r="C7" s="508" t="s">
        <v>10</v>
      </c>
      <c r="D7" s="509">
        <f>'Preço m²'!H3</f>
        <v>7.53659399561806</v>
      </c>
      <c r="E7" s="508">
        <v>0</v>
      </c>
      <c r="F7" s="510">
        <f>D7*E7</f>
        <v>0</v>
      </c>
      <c r="G7" s="2"/>
      <c r="H7" s="2"/>
      <c r="I7" s="543"/>
      <c r="J7" s="2"/>
      <c r="K7" s="2"/>
      <c r="L7" s="2"/>
      <c r="M7" s="2"/>
    </row>
    <row r="8" customFormat="1" spans="1:13">
      <c r="A8" s="507">
        <v>2</v>
      </c>
      <c r="B8" s="511" t="s">
        <v>9</v>
      </c>
      <c r="C8" s="511" t="s">
        <v>11</v>
      </c>
      <c r="D8" s="512">
        <f>'Preço m²'!H4</f>
        <v>7.53659399561806</v>
      </c>
      <c r="E8" s="511">
        <v>6216</v>
      </c>
      <c r="F8" s="513">
        <f>D8*E8</f>
        <v>46847.4682767619</v>
      </c>
      <c r="G8" s="2"/>
      <c r="H8" s="2"/>
      <c r="I8" s="407"/>
      <c r="J8" s="2"/>
      <c r="K8" s="2"/>
      <c r="L8" s="407"/>
      <c r="M8" s="2"/>
    </row>
    <row r="9" customFormat="1" spans="1:13">
      <c r="A9" s="507">
        <v>3</v>
      </c>
      <c r="B9" s="511" t="s">
        <v>9</v>
      </c>
      <c r="C9" s="511" t="s">
        <v>12</v>
      </c>
      <c r="D9" s="512">
        <f>'Preço m²'!H5</f>
        <v>16.747986656929</v>
      </c>
      <c r="E9" s="511">
        <v>1895</v>
      </c>
      <c r="F9" s="513">
        <f>(D9*E9)</f>
        <v>31737.4347148805</v>
      </c>
      <c r="G9" s="2"/>
      <c r="H9" s="2"/>
      <c r="I9" s="407"/>
      <c r="J9" s="2"/>
      <c r="K9" s="2"/>
      <c r="L9" s="407"/>
      <c r="M9" s="2"/>
    </row>
    <row r="10" customFormat="1" spans="1:13">
      <c r="A10" s="507">
        <v>4</v>
      </c>
      <c r="B10" s="511" t="s">
        <v>9</v>
      </c>
      <c r="C10" s="511" t="s">
        <v>13</v>
      </c>
      <c r="D10" s="512">
        <f>'Preço m²'!H6</f>
        <v>4.01951679766297</v>
      </c>
      <c r="E10" s="511">
        <v>160</v>
      </c>
      <c r="F10" s="513">
        <f t="shared" ref="F10:F25" si="0">D10*E10</f>
        <v>643.122687626075</v>
      </c>
      <c r="G10" s="2"/>
      <c r="H10" s="2"/>
      <c r="I10" s="407"/>
      <c r="J10" s="2"/>
      <c r="K10" s="2"/>
      <c r="L10" s="407"/>
      <c r="M10" s="2"/>
    </row>
    <row r="11" customFormat="1" spans="1:13">
      <c r="A11" s="507">
        <v>5</v>
      </c>
      <c r="B11" s="508" t="s">
        <v>9</v>
      </c>
      <c r="C11" s="508" t="s">
        <v>14</v>
      </c>
      <c r="D11" s="509">
        <f>'Preço m²'!H7</f>
        <v>5.02439599707871</v>
      </c>
      <c r="E11" s="508">
        <v>0</v>
      </c>
      <c r="F11" s="514">
        <f t="shared" si="0"/>
        <v>0</v>
      </c>
      <c r="G11" s="2"/>
      <c r="H11" s="2"/>
      <c r="I11" s="407"/>
      <c r="J11" s="2"/>
      <c r="K11" s="2"/>
      <c r="L11" s="407"/>
      <c r="M11" s="2"/>
    </row>
    <row r="12" customFormat="1" ht="28" spans="1:13">
      <c r="A12" s="507">
        <v>6</v>
      </c>
      <c r="B12" s="511" t="s">
        <v>9</v>
      </c>
      <c r="C12" s="511" t="s">
        <v>15</v>
      </c>
      <c r="D12" s="512">
        <f>'Preço m²'!H8</f>
        <v>6.02927519649445</v>
      </c>
      <c r="E12" s="511">
        <v>427</v>
      </c>
      <c r="F12" s="513">
        <f t="shared" si="0"/>
        <v>2574.50050890313</v>
      </c>
      <c r="G12" s="2"/>
      <c r="H12" s="2"/>
      <c r="I12" s="407"/>
      <c r="J12" s="2"/>
      <c r="K12" s="2"/>
      <c r="L12" s="407"/>
      <c r="M12" s="2"/>
    </row>
    <row r="13" customFormat="1" spans="1:13">
      <c r="A13" s="507">
        <v>7</v>
      </c>
      <c r="B13" s="511" t="s">
        <v>9</v>
      </c>
      <c r="C13" s="511" t="s">
        <v>16</v>
      </c>
      <c r="D13" s="512">
        <f>'Preço m²'!H9</f>
        <v>30.1463759824723</v>
      </c>
      <c r="E13" s="511">
        <v>684</v>
      </c>
      <c r="F13" s="513">
        <f t="shared" si="0"/>
        <v>20620.121172011</v>
      </c>
      <c r="G13" s="2"/>
      <c r="H13" s="2"/>
      <c r="I13" s="407"/>
      <c r="J13" s="2"/>
      <c r="K13" s="2"/>
      <c r="L13" s="407"/>
      <c r="M13" s="2"/>
    </row>
    <row r="14" customFormat="1" ht="42" spans="1:13">
      <c r="A14" s="507">
        <v>8</v>
      </c>
      <c r="B14" s="508" t="s">
        <v>17</v>
      </c>
      <c r="C14" s="508" t="s">
        <v>18</v>
      </c>
      <c r="D14" s="509">
        <f>'Preço m²'!H10</f>
        <v>3.34959733138581</v>
      </c>
      <c r="E14" s="508">
        <v>0</v>
      </c>
      <c r="F14" s="514">
        <f t="shared" si="0"/>
        <v>0</v>
      </c>
      <c r="G14" s="2"/>
      <c r="H14" s="2"/>
      <c r="I14" s="407"/>
      <c r="J14" s="407"/>
      <c r="K14" s="2"/>
      <c r="L14" s="407"/>
      <c r="M14" s="2"/>
    </row>
    <row r="15" customFormat="1" ht="28" spans="1:13">
      <c r="A15" s="507">
        <v>9</v>
      </c>
      <c r="B15" s="511" t="s">
        <v>17</v>
      </c>
      <c r="C15" s="511" t="s">
        <v>19</v>
      </c>
      <c r="D15" s="512">
        <f>'Preço m²'!H11</f>
        <v>1.00487919941574</v>
      </c>
      <c r="E15" s="511">
        <v>695</v>
      </c>
      <c r="F15" s="513">
        <f t="shared" si="0"/>
        <v>698.39104359394</v>
      </c>
      <c r="G15" s="2"/>
      <c r="H15" s="2"/>
      <c r="I15" s="407"/>
      <c r="J15" s="2"/>
      <c r="K15" s="2"/>
      <c r="L15" s="407"/>
      <c r="M15" s="2"/>
    </row>
    <row r="16" customFormat="1" ht="28" spans="1:13">
      <c r="A16" s="507">
        <v>10</v>
      </c>
      <c r="B16" s="508" t="s">
        <v>17</v>
      </c>
      <c r="C16" s="508" t="s">
        <v>20</v>
      </c>
      <c r="D16" s="509">
        <f>'Preço m²'!H12</f>
        <v>3.34959733138581</v>
      </c>
      <c r="E16" s="508">
        <v>0</v>
      </c>
      <c r="F16" s="514">
        <f t="shared" si="0"/>
        <v>0</v>
      </c>
      <c r="G16" s="2"/>
      <c r="H16" s="2"/>
      <c r="I16" s="2"/>
      <c r="J16" s="2"/>
      <c r="K16" s="2"/>
      <c r="L16" s="407"/>
      <c r="M16" s="2"/>
    </row>
    <row r="17" customFormat="1" ht="28" spans="1:13">
      <c r="A17" s="507">
        <v>11</v>
      </c>
      <c r="B17" s="508" t="s">
        <v>17</v>
      </c>
      <c r="C17" s="508" t="s">
        <v>21</v>
      </c>
      <c r="D17" s="509">
        <f>'Preço m²'!H13</f>
        <v>3.34959733138581</v>
      </c>
      <c r="E17" s="508">
        <v>0</v>
      </c>
      <c r="F17" s="514">
        <f t="shared" si="0"/>
        <v>0</v>
      </c>
      <c r="G17" s="2"/>
      <c r="H17" s="2"/>
      <c r="I17" s="2"/>
      <c r="J17" s="2"/>
      <c r="K17" s="2"/>
      <c r="L17" s="2"/>
      <c r="M17" s="2"/>
    </row>
    <row r="18" customFormat="1" ht="28" spans="1:13">
      <c r="A18" s="507">
        <v>12</v>
      </c>
      <c r="B18" s="511" t="s">
        <v>17</v>
      </c>
      <c r="C18" s="511" t="s">
        <v>22</v>
      </c>
      <c r="D18" s="512">
        <f>'Preço m²'!H14</f>
        <v>3.34959733138581</v>
      </c>
      <c r="E18" s="511">
        <v>1630</v>
      </c>
      <c r="F18" s="513">
        <f t="shared" si="0"/>
        <v>5459.84365015886</v>
      </c>
      <c r="G18" s="2"/>
      <c r="H18" s="2"/>
      <c r="I18" s="2"/>
      <c r="J18" s="2"/>
      <c r="K18" s="2"/>
      <c r="L18" s="2"/>
      <c r="M18" s="2"/>
    </row>
    <row r="19" customFormat="1" ht="42" spans="1:13">
      <c r="A19" s="507">
        <v>13</v>
      </c>
      <c r="B19" s="508" t="s">
        <v>17</v>
      </c>
      <c r="C19" s="508" t="s">
        <v>23</v>
      </c>
      <c r="D19" s="509">
        <f>'Preço m²'!H15</f>
        <v>0.0602927519649445</v>
      </c>
      <c r="E19" s="508">
        <v>0</v>
      </c>
      <c r="F19" s="514">
        <f t="shared" si="0"/>
        <v>0</v>
      </c>
      <c r="G19" s="2"/>
      <c r="H19" s="2"/>
      <c r="I19" s="2"/>
      <c r="J19" s="2"/>
      <c r="K19" s="2"/>
      <c r="L19" s="2"/>
      <c r="M19" s="2"/>
    </row>
    <row r="20" customFormat="1" ht="42" spans="1:13">
      <c r="A20" s="507">
        <v>14</v>
      </c>
      <c r="B20" s="508" t="s">
        <v>24</v>
      </c>
      <c r="C20" s="508" t="s">
        <v>24</v>
      </c>
      <c r="D20" s="509">
        <f>'Preço m²'!H16</f>
        <v>16.747986656929</v>
      </c>
      <c r="E20" s="508">
        <v>0</v>
      </c>
      <c r="F20" s="514">
        <f t="shared" si="0"/>
        <v>0</v>
      </c>
      <c r="G20" s="2"/>
      <c r="H20" s="2"/>
      <c r="I20" s="2"/>
      <c r="J20" s="2"/>
      <c r="K20" s="2"/>
      <c r="L20" s="2"/>
      <c r="M20" s="2"/>
    </row>
    <row r="21" customFormat="1" ht="28" spans="1:13">
      <c r="A21" s="507">
        <v>15</v>
      </c>
      <c r="B21" s="508" t="s">
        <v>25</v>
      </c>
      <c r="C21" s="508" t="s">
        <v>26</v>
      </c>
      <c r="D21" s="510">
        <f>'Preço m²'!H18</f>
        <v>3.93126001042884</v>
      </c>
      <c r="E21" s="508">
        <v>0</v>
      </c>
      <c r="F21" s="514">
        <f t="shared" si="0"/>
        <v>0</v>
      </c>
      <c r="G21" s="2"/>
      <c r="H21" s="2"/>
      <c r="I21" s="2"/>
      <c r="J21" s="2"/>
      <c r="K21" s="2"/>
      <c r="L21" s="2"/>
      <c r="M21" s="2"/>
    </row>
    <row r="22" customFormat="1" ht="28" spans="1:13">
      <c r="A22" s="507">
        <v>16</v>
      </c>
      <c r="B22" s="511" t="s">
        <v>25</v>
      </c>
      <c r="C22" s="511" t="s">
        <v>27</v>
      </c>
      <c r="D22" s="512">
        <f>'Preço m²'!H19</f>
        <v>1.70354600451916</v>
      </c>
      <c r="E22" s="511">
        <v>318.56</v>
      </c>
      <c r="F22" s="513">
        <f t="shared" si="0"/>
        <v>542.681615199625</v>
      </c>
      <c r="G22" s="2"/>
      <c r="H22" s="2"/>
      <c r="I22" s="2"/>
      <c r="J22" s="2"/>
      <c r="K22" s="2"/>
      <c r="L22" s="2"/>
      <c r="M22" s="2"/>
    </row>
    <row r="23" customFormat="1" ht="28" spans="1:13">
      <c r="A23" s="507">
        <v>17</v>
      </c>
      <c r="B23" s="511" t="s">
        <v>25</v>
      </c>
      <c r="C23" s="511" t="s">
        <v>28</v>
      </c>
      <c r="D23" s="512">
        <f>'Preço m²'!H20</f>
        <v>1.70354600451916</v>
      </c>
      <c r="E23" s="511">
        <v>318.56</v>
      </c>
      <c r="F23" s="513">
        <f t="shared" si="0"/>
        <v>542.681615199625</v>
      </c>
      <c r="G23" s="2"/>
      <c r="H23" s="2"/>
      <c r="I23" s="2"/>
      <c r="J23" s="2"/>
      <c r="K23" s="2"/>
      <c r="L23" s="2"/>
      <c r="M23" s="2"/>
    </row>
    <row r="24" customFormat="1" ht="28" spans="1:13">
      <c r="A24" s="507">
        <v>18</v>
      </c>
      <c r="B24" s="508" t="s">
        <v>29</v>
      </c>
      <c r="C24" s="508" t="s">
        <v>29</v>
      </c>
      <c r="D24" s="509">
        <f>'Preço m²'!H22</f>
        <v>0.327570521425543</v>
      </c>
      <c r="E24" s="508">
        <v>0</v>
      </c>
      <c r="F24" s="514">
        <f t="shared" si="0"/>
        <v>0</v>
      </c>
      <c r="G24" s="2"/>
      <c r="H24" s="2"/>
      <c r="I24" s="2"/>
      <c r="J24" s="2"/>
      <c r="K24" s="2"/>
      <c r="L24" s="2"/>
      <c r="M24" s="2"/>
    </row>
    <row r="25" customFormat="1" ht="28" spans="1:13">
      <c r="A25" s="507">
        <v>19</v>
      </c>
      <c r="B25" s="508" t="s">
        <v>30</v>
      </c>
      <c r="C25" s="508" t="s">
        <v>30</v>
      </c>
      <c r="D25" s="510">
        <v>0</v>
      </c>
      <c r="E25" s="508">
        <v>1</v>
      </c>
      <c r="F25" s="514">
        <f t="shared" si="0"/>
        <v>0</v>
      </c>
      <c r="G25" s="2"/>
      <c r="H25" s="2"/>
      <c r="I25" s="2"/>
      <c r="J25" s="2"/>
      <c r="K25" s="2"/>
      <c r="L25" s="2"/>
      <c r="M25" s="2"/>
    </row>
    <row r="26" customFormat="1" spans="1:13">
      <c r="A26" s="515" t="s">
        <v>31</v>
      </c>
      <c r="B26" s="516"/>
      <c r="C26" s="516"/>
      <c r="D26" s="516"/>
      <c r="E26" s="517"/>
      <c r="F26" s="518">
        <f>ROUNDUP(SUM(F7:F25),2)</f>
        <v>109666.25</v>
      </c>
      <c r="G26" s="2"/>
      <c r="H26" s="2"/>
      <c r="I26" s="2"/>
      <c r="J26" s="2"/>
      <c r="K26" s="2"/>
      <c r="L26" s="2"/>
      <c r="M26" s="2"/>
    </row>
    <row r="27" customFormat="1" spans="1:13">
      <c r="A27" s="515" t="s">
        <v>32</v>
      </c>
      <c r="B27" s="516"/>
      <c r="C27" s="516"/>
      <c r="D27" s="516"/>
      <c r="E27" s="517"/>
      <c r="F27" s="518">
        <f>ROUNDUP(F26*12,2)</f>
        <v>1315995</v>
      </c>
      <c r="G27" s="2"/>
      <c r="H27" s="2"/>
      <c r="I27" s="2"/>
      <c r="J27" s="2"/>
      <c r="K27" s="2"/>
      <c r="L27" s="2"/>
      <c r="M27" s="2"/>
    </row>
    <row r="28" customFormat="1" ht="15.25" spans="1:13">
      <c r="A28" s="2"/>
      <c r="B28" s="2"/>
      <c r="C28" s="2"/>
      <c r="D28" s="2"/>
      <c r="E28" s="2"/>
      <c r="F28" s="2"/>
      <c r="G28" s="2"/>
      <c r="H28" s="2"/>
      <c r="I28" s="2"/>
      <c r="J28" s="2"/>
      <c r="K28" s="2"/>
      <c r="L28" s="2"/>
      <c r="M28" s="2"/>
    </row>
    <row r="29" customFormat="1" ht="15.25" spans="1:13">
      <c r="A29" s="519" t="s">
        <v>33</v>
      </c>
      <c r="B29" s="520"/>
      <c r="C29" s="520"/>
      <c r="D29" s="520"/>
      <c r="E29" s="520"/>
      <c r="F29" s="520"/>
      <c r="G29" s="520"/>
      <c r="H29" s="521"/>
      <c r="I29" s="2"/>
      <c r="J29" s="2"/>
      <c r="K29" s="2"/>
      <c r="L29" s="2"/>
      <c r="M29" s="2"/>
    </row>
    <row r="30" customFormat="1" ht="42" spans="1:13">
      <c r="A30" s="522" t="s">
        <v>3</v>
      </c>
      <c r="B30" s="523" t="s">
        <v>34</v>
      </c>
      <c r="C30" s="523" t="s">
        <v>35</v>
      </c>
      <c r="D30" s="523" t="s">
        <v>36</v>
      </c>
      <c r="E30" s="523" t="s">
        <v>37</v>
      </c>
      <c r="F30" s="523" t="s">
        <v>38</v>
      </c>
      <c r="G30" s="523" t="s">
        <v>39</v>
      </c>
      <c r="H30" s="524" t="s">
        <v>40</v>
      </c>
      <c r="I30" s="2"/>
      <c r="J30" s="2"/>
      <c r="K30" s="2"/>
      <c r="L30" s="2"/>
      <c r="M30" s="2"/>
    </row>
    <row r="31" customFormat="1" ht="70.75" spans="1:13">
      <c r="A31" s="525">
        <v>1</v>
      </c>
      <c r="B31" s="526" t="s">
        <v>41</v>
      </c>
      <c r="C31" s="527" t="s">
        <v>42</v>
      </c>
      <c r="D31" s="526" t="s">
        <v>43</v>
      </c>
      <c r="E31" s="526">
        <v>12344.12</v>
      </c>
      <c r="F31" s="528">
        <f>F26</f>
        <v>109666.25</v>
      </c>
      <c r="G31" s="529">
        <f>F31/E31</f>
        <v>8.88408813264939</v>
      </c>
      <c r="H31" s="530">
        <f>G31*E31*12</f>
        <v>1315995</v>
      </c>
      <c r="I31" s="2"/>
      <c r="J31" s="2"/>
      <c r="K31" s="544"/>
      <c r="L31" s="2"/>
      <c r="M31" s="2"/>
    </row>
    <row r="33" customFormat="1" spans="1:9">
      <c r="A33" s="531" t="s">
        <v>44</v>
      </c>
      <c r="B33" s="531"/>
      <c r="C33" s="531"/>
      <c r="D33" s="531"/>
      <c r="E33" s="531"/>
      <c r="F33" s="531"/>
      <c r="G33" s="531"/>
      <c r="H33" s="531"/>
      <c r="I33" s="531"/>
    </row>
    <row r="34" customFormat="1" spans="1:9">
      <c r="A34" s="531" t="s">
        <v>33</v>
      </c>
      <c r="B34" s="531"/>
      <c r="C34" s="531"/>
      <c r="D34" s="531"/>
      <c r="E34" s="531"/>
      <c r="F34" s="531"/>
      <c r="G34" s="531"/>
      <c r="H34" s="531"/>
      <c r="I34" s="531"/>
    </row>
    <row r="35" customFormat="1" ht="42" spans="1:9">
      <c r="A35" s="532" t="s">
        <v>3</v>
      </c>
      <c r="B35" s="533" t="s">
        <v>34</v>
      </c>
      <c r="C35" s="533" t="s">
        <v>35</v>
      </c>
      <c r="D35" s="533" t="s">
        <v>36</v>
      </c>
      <c r="E35" s="533" t="s">
        <v>37</v>
      </c>
      <c r="F35" s="533" t="s">
        <v>38</v>
      </c>
      <c r="G35" s="533"/>
      <c r="H35" s="534" t="s">
        <v>45</v>
      </c>
      <c r="I35" s="534" t="s">
        <v>40</v>
      </c>
    </row>
    <row r="36" customFormat="1" ht="84.75" spans="1:9">
      <c r="A36" s="535">
        <v>1</v>
      </c>
      <c r="B36" s="536" t="s">
        <v>41</v>
      </c>
      <c r="C36" s="537" t="s">
        <v>46</v>
      </c>
      <c r="D36" s="536" t="s">
        <v>43</v>
      </c>
      <c r="E36" s="536">
        <v>12344</v>
      </c>
      <c r="F36" s="538">
        <f>G36*E36</f>
        <v>109614.72</v>
      </c>
      <c r="G36" s="538">
        <v>8.88</v>
      </c>
      <c r="H36" s="539">
        <f>G36*12</f>
        <v>106.56</v>
      </c>
      <c r="I36" s="545">
        <f>H36*E36</f>
        <v>1315376.64</v>
      </c>
    </row>
    <row r="40" customFormat="1" ht="84.75" customHeight="1" spans="2:6">
      <c r="B40" s="540" t="s">
        <v>47</v>
      </c>
      <c r="C40" s="540"/>
      <c r="D40" s="541" t="s">
        <v>48</v>
      </c>
      <c r="E40" s="541"/>
      <c r="F40" s="541"/>
    </row>
    <row r="41" customFormat="1" spans="6:6">
      <c r="F41" s="542"/>
    </row>
  </sheetData>
  <mergeCells count="10">
    <mergeCell ref="A1:I1"/>
    <mergeCell ref="A2:H2"/>
    <mergeCell ref="A4:F4"/>
    <mergeCell ref="A26:E26"/>
    <mergeCell ref="A27:E27"/>
    <mergeCell ref="A29:H29"/>
    <mergeCell ref="A33:I33"/>
    <mergeCell ref="A34:I34"/>
    <mergeCell ref="B40:C40"/>
    <mergeCell ref="D40:F40"/>
  </mergeCells>
  <pageMargins left="0.7" right="0.7" top="0.75" bottom="0.75" header="0.3" footer="0.3"/>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topLeftCell="A7" workbookViewId="0">
      <selection activeCell="C12" sqref="C12"/>
    </sheetView>
  </sheetViews>
  <sheetFormatPr defaultColWidth="9" defaultRowHeight="14.5" outlineLevelCol="7"/>
  <cols>
    <col min="3" max="3" width="35" customWidth="1"/>
    <col min="4" max="4" width="15.7090909090909" customWidth="1"/>
    <col min="6" max="8" width="15.7090909090909" customWidth="1"/>
  </cols>
  <sheetData>
    <row r="1" ht="63.75" customHeight="1" spans="1:8">
      <c r="A1" s="493" t="s">
        <v>49</v>
      </c>
      <c r="B1" s="494"/>
      <c r="C1" s="494"/>
      <c r="D1" s="494"/>
      <c r="E1" s="494"/>
      <c r="F1" s="494"/>
      <c r="G1" s="494"/>
      <c r="H1" s="494"/>
    </row>
    <row r="2" ht="34.5" customHeight="1" spans="1:8">
      <c r="A2" s="494"/>
      <c r="B2" s="494"/>
      <c r="C2" s="494"/>
      <c r="D2" s="494"/>
      <c r="E2" s="494"/>
      <c r="F2" s="494"/>
      <c r="G2" s="494"/>
      <c r="H2" s="494"/>
    </row>
    <row r="3" spans="1:8">
      <c r="A3" s="494"/>
      <c r="B3" s="494"/>
      <c r="C3" s="494"/>
      <c r="D3" s="494"/>
      <c r="E3" s="494"/>
      <c r="F3" s="494"/>
      <c r="G3" s="494"/>
      <c r="H3" s="494"/>
    </row>
    <row r="4" ht="23.5" spans="1:8">
      <c r="A4" s="495" t="s">
        <v>50</v>
      </c>
      <c r="B4" s="495"/>
      <c r="C4" s="495"/>
      <c r="D4" s="495"/>
      <c r="E4" s="495"/>
      <c r="F4" s="495"/>
      <c r="G4" s="495"/>
      <c r="H4" s="495"/>
    </row>
    <row r="6" ht="16.5" spans="1:8">
      <c r="A6" s="496" t="s">
        <v>51</v>
      </c>
      <c r="B6" s="497"/>
      <c r="C6" s="497"/>
      <c r="D6" s="497"/>
      <c r="E6" s="497"/>
      <c r="F6" s="497"/>
      <c r="G6" s="497"/>
      <c r="H6" s="497"/>
    </row>
    <row r="7" ht="39" customHeight="1" spans="1:8">
      <c r="A7" s="496" t="s">
        <v>52</v>
      </c>
      <c r="B7" s="496"/>
      <c r="C7" s="496"/>
      <c r="D7" s="496"/>
      <c r="E7" s="496"/>
      <c r="F7" s="496"/>
      <c r="G7" s="496"/>
      <c r="H7" s="496"/>
    </row>
    <row r="8" ht="70" spans="1:8">
      <c r="A8" s="498" t="s">
        <v>53</v>
      </c>
      <c r="B8" s="499" t="s">
        <v>54</v>
      </c>
      <c r="C8" s="499" t="s">
        <v>55</v>
      </c>
      <c r="D8" s="499" t="s">
        <v>56</v>
      </c>
      <c r="E8" s="499" t="s">
        <v>57</v>
      </c>
      <c r="F8" s="499" t="s">
        <v>58</v>
      </c>
      <c r="G8" s="499" t="s">
        <v>59</v>
      </c>
      <c r="H8" s="499" t="s">
        <v>60</v>
      </c>
    </row>
    <row r="9" ht="21.75" customHeight="1" spans="1:8">
      <c r="A9" s="498" t="s">
        <v>61</v>
      </c>
      <c r="B9" s="498">
        <v>3</v>
      </c>
      <c r="C9" s="499" t="s">
        <v>62</v>
      </c>
      <c r="E9" s="500">
        <v>4</v>
      </c>
      <c r="F9" s="501">
        <f>'Planilha de Custo Servente'!C138</f>
        <v>6029.27519649445</v>
      </c>
      <c r="G9" s="501">
        <f>ROUNDUP(F9*E9,2)</f>
        <v>24117.11</v>
      </c>
      <c r="H9" s="501">
        <f t="shared" ref="H9" si="0">G9*12</f>
        <v>289405.32</v>
      </c>
    </row>
    <row r="10" spans="2:8">
      <c r="B10" s="502" t="s">
        <v>63</v>
      </c>
      <c r="C10" s="503"/>
      <c r="D10" s="503"/>
      <c r="E10" s="503"/>
      <c r="F10" s="503"/>
      <c r="G10" s="504">
        <f>SUM(G9:G9)</f>
        <v>24117.11</v>
      </c>
      <c r="H10" s="504">
        <f>SUM(H9:H9)</f>
        <v>289405.32</v>
      </c>
    </row>
  </sheetData>
  <mergeCells count="5">
    <mergeCell ref="A4:H4"/>
    <mergeCell ref="A6:H6"/>
    <mergeCell ref="A7:H7"/>
    <mergeCell ref="B10:F10"/>
    <mergeCell ref="A1:H2"/>
  </mergeCells>
  <pageMargins left="0.7" right="0.7" top="0.75" bottom="0.75" header="0.3" footer="0.3"/>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80"/>
  <sheetViews>
    <sheetView workbookViewId="0">
      <selection activeCell="J50" sqref="J50"/>
    </sheetView>
  </sheetViews>
  <sheetFormatPr defaultColWidth="9" defaultRowHeight="14.5"/>
  <cols>
    <col min="1" max="1" width="35.7090909090909" customWidth="1"/>
    <col min="2" max="2" width="20.8545454545455" customWidth="1"/>
    <col min="3" max="3" width="18.4272727272727" customWidth="1"/>
    <col min="4" max="5" width="15.7090909090909" customWidth="1"/>
  </cols>
  <sheetData>
    <row r="1" ht="15.25" spans="1:17">
      <c r="A1" s="407"/>
      <c r="B1" s="407"/>
      <c r="C1" s="407"/>
      <c r="D1" s="407"/>
      <c r="E1" s="407"/>
      <c r="F1" s="407"/>
      <c r="G1" s="407"/>
      <c r="H1" s="407"/>
      <c r="I1" s="407"/>
      <c r="J1" s="407"/>
      <c r="K1" s="407"/>
      <c r="L1" s="407"/>
      <c r="M1" s="407"/>
      <c r="N1" s="407"/>
      <c r="O1" s="407"/>
      <c r="P1" s="407"/>
      <c r="Q1" s="407"/>
    </row>
    <row r="2" ht="15.25" spans="1:17">
      <c r="A2" s="408" t="s">
        <v>64</v>
      </c>
      <c r="B2" s="409"/>
      <c r="C2" s="410"/>
      <c r="D2" s="410"/>
      <c r="E2" s="407"/>
      <c r="F2" s="407"/>
      <c r="G2" s="407"/>
      <c r="H2" s="407"/>
      <c r="I2" s="407"/>
      <c r="J2" s="407"/>
      <c r="K2" s="407"/>
      <c r="L2" s="407"/>
      <c r="M2" s="407"/>
      <c r="N2" s="407"/>
      <c r="O2" s="407"/>
      <c r="P2" s="407"/>
      <c r="Q2" s="407"/>
    </row>
    <row r="3" ht="15.25" spans="1:17">
      <c r="A3" s="411"/>
      <c r="B3" s="412">
        <v>1</v>
      </c>
      <c r="C3" s="412">
        <v>2</v>
      </c>
      <c r="D3" s="412" t="s">
        <v>65</v>
      </c>
      <c r="E3" s="407"/>
      <c r="F3" s="407"/>
      <c r="G3" s="407"/>
      <c r="H3" s="407"/>
      <c r="I3" s="407"/>
      <c r="J3" s="407"/>
      <c r="K3" s="407"/>
      <c r="L3" s="407"/>
      <c r="M3" s="407"/>
      <c r="N3" s="407"/>
      <c r="O3" s="407"/>
      <c r="P3" s="407"/>
      <c r="Q3" s="407"/>
    </row>
    <row r="4" ht="45" customHeight="1" spans="1:17">
      <c r="A4" s="413" t="s">
        <v>66</v>
      </c>
      <c r="B4" s="414" t="s">
        <v>67</v>
      </c>
      <c r="C4" s="414" t="s">
        <v>68</v>
      </c>
      <c r="D4" s="415" t="s">
        <v>69</v>
      </c>
      <c r="E4" s="407"/>
      <c r="F4" s="407"/>
      <c r="G4" s="407"/>
      <c r="H4" s="407"/>
      <c r="I4" s="407"/>
      <c r="J4" s="407"/>
      <c r="K4" s="407"/>
      <c r="L4" s="407"/>
      <c r="M4" s="407"/>
      <c r="N4" s="407"/>
      <c r="O4" s="407"/>
      <c r="P4" s="407"/>
      <c r="Q4" s="407"/>
    </row>
    <row r="5" spans="1:17">
      <c r="A5" s="416"/>
      <c r="B5" s="417"/>
      <c r="C5" s="417"/>
      <c r="D5" s="418"/>
      <c r="E5" s="407"/>
      <c r="F5" s="407"/>
      <c r="G5" s="407"/>
      <c r="H5" s="407"/>
      <c r="I5" s="407"/>
      <c r="J5" s="407"/>
      <c r="K5" s="407"/>
      <c r="L5" s="407"/>
      <c r="M5" s="407"/>
      <c r="N5" s="407"/>
      <c r="O5" s="407"/>
      <c r="P5" s="407"/>
      <c r="Q5" s="407"/>
    </row>
    <row r="6" spans="1:17">
      <c r="A6" s="419" t="s">
        <v>70</v>
      </c>
      <c r="B6" s="420" t="s">
        <v>71</v>
      </c>
      <c r="C6" s="421">
        <f>'Custo por trabalhador Servente'!D541</f>
        <v>6029.27519649445</v>
      </c>
      <c r="D6" s="422">
        <f>C6*B7</f>
        <v>7.53659399561806</v>
      </c>
      <c r="E6" s="407"/>
      <c r="F6" s="407"/>
      <c r="G6" s="407"/>
      <c r="H6" s="407"/>
      <c r="I6" s="407"/>
      <c r="J6" s="407"/>
      <c r="K6" s="407"/>
      <c r="L6" s="407"/>
      <c r="M6" s="407"/>
      <c r="N6" s="407"/>
      <c r="O6" s="407"/>
      <c r="P6" s="407"/>
      <c r="Q6" s="407"/>
    </row>
    <row r="7" spans="1:17">
      <c r="A7" s="423"/>
      <c r="B7" s="424">
        <f>1/800</f>
        <v>0.00125</v>
      </c>
      <c r="C7" s="425" t="s">
        <v>72</v>
      </c>
      <c r="D7" s="426">
        <f>D6</f>
        <v>7.53659399561806</v>
      </c>
      <c r="E7" s="407"/>
      <c r="F7" s="407"/>
      <c r="G7" s="407"/>
      <c r="H7" s="407"/>
      <c r="I7" s="407"/>
      <c r="J7" s="407"/>
      <c r="K7" s="407"/>
      <c r="L7" s="407"/>
      <c r="M7" s="407"/>
      <c r="N7" s="407"/>
      <c r="O7" s="407"/>
      <c r="P7" s="407"/>
      <c r="Q7" s="407"/>
    </row>
    <row r="8" spans="1:17">
      <c r="A8" s="423"/>
      <c r="B8" s="409"/>
      <c r="C8" s="26"/>
      <c r="D8" s="427"/>
      <c r="E8" s="407"/>
      <c r="F8" s="407"/>
      <c r="G8" s="407"/>
      <c r="H8" s="407"/>
      <c r="I8" s="407"/>
      <c r="J8" s="407"/>
      <c r="K8" s="407"/>
      <c r="L8" s="407"/>
      <c r="M8" s="407"/>
      <c r="N8" s="407"/>
      <c r="O8" s="407"/>
      <c r="P8" s="407"/>
      <c r="Q8" s="407"/>
    </row>
    <row r="9" spans="1:17">
      <c r="A9" s="419" t="s">
        <v>73</v>
      </c>
      <c r="B9" s="420" t="s">
        <v>74</v>
      </c>
      <c r="C9" s="421">
        <f>'Custo por trabalhador Servente'!D541</f>
        <v>6029.27519649445</v>
      </c>
      <c r="D9" s="422">
        <f>C9*B10</f>
        <v>16.747986656929</v>
      </c>
      <c r="E9" s="407"/>
      <c r="F9" s="407"/>
      <c r="G9" s="407"/>
      <c r="H9" s="407"/>
      <c r="I9" s="407"/>
      <c r="J9" s="407"/>
      <c r="K9" s="407"/>
      <c r="L9" s="407"/>
      <c r="M9" s="407"/>
      <c r="N9" s="407"/>
      <c r="O9" s="407"/>
      <c r="P9" s="407"/>
      <c r="Q9" s="407"/>
    </row>
    <row r="10" spans="1:17">
      <c r="A10" s="428"/>
      <c r="B10" s="424">
        <f>1/360</f>
        <v>0.00277777777777778</v>
      </c>
      <c r="C10" s="425" t="s">
        <v>72</v>
      </c>
      <c r="D10" s="426">
        <f>D9</f>
        <v>16.747986656929</v>
      </c>
      <c r="E10" s="407"/>
      <c r="F10" s="407"/>
      <c r="G10" s="407"/>
      <c r="H10" s="407"/>
      <c r="I10" s="407"/>
      <c r="J10" s="407"/>
      <c r="K10" s="407"/>
      <c r="L10" s="407"/>
      <c r="M10" s="407"/>
      <c r="N10" s="407"/>
      <c r="O10" s="407"/>
      <c r="P10" s="407"/>
      <c r="Q10" s="407"/>
    </row>
    <row r="11" spans="1:17">
      <c r="A11" s="423"/>
      <c r="B11" s="407"/>
      <c r="C11" s="407"/>
      <c r="D11" s="429"/>
      <c r="E11" s="407"/>
      <c r="F11" s="407"/>
      <c r="G11" s="407"/>
      <c r="H11" s="407"/>
      <c r="I11" s="407"/>
      <c r="J11" s="407"/>
      <c r="K11" s="407"/>
      <c r="L11" s="407"/>
      <c r="M11" s="407"/>
      <c r="N11" s="407"/>
      <c r="O11" s="407"/>
      <c r="P11" s="407"/>
      <c r="Q11" s="407"/>
    </row>
    <row r="12" spans="1:17">
      <c r="A12" s="419" t="s">
        <v>75</v>
      </c>
      <c r="B12" s="420" t="s">
        <v>76</v>
      </c>
      <c r="C12" s="421">
        <f>'Custo por trabalhador Servente'!D541</f>
        <v>6029.27519649445</v>
      </c>
      <c r="D12" s="422">
        <f>C12*B13</f>
        <v>4.01951679766297</v>
      </c>
      <c r="E12" s="407"/>
      <c r="F12" s="407"/>
      <c r="G12" s="407"/>
      <c r="H12" s="407"/>
      <c r="I12" s="407"/>
      <c r="J12" s="407"/>
      <c r="K12" s="407"/>
      <c r="L12" s="407"/>
      <c r="M12" s="407"/>
      <c r="N12" s="407"/>
      <c r="O12" s="407"/>
      <c r="P12" s="407"/>
      <c r="Q12" s="407"/>
    </row>
    <row r="13" spans="1:17">
      <c r="A13" s="423"/>
      <c r="B13" s="424">
        <f>1/1500</f>
        <v>0.000666666666666667</v>
      </c>
      <c r="C13" s="425" t="s">
        <v>72</v>
      </c>
      <c r="D13" s="426">
        <f>D12</f>
        <v>4.01951679766297</v>
      </c>
      <c r="E13" s="407"/>
      <c r="F13" s="407"/>
      <c r="G13" s="407"/>
      <c r="H13" s="407"/>
      <c r="I13" s="407"/>
      <c r="J13" s="407"/>
      <c r="K13" s="407"/>
      <c r="L13" s="407"/>
      <c r="M13" s="407"/>
      <c r="N13" s="407"/>
      <c r="O13" s="407"/>
      <c r="P13" s="407"/>
      <c r="Q13" s="407"/>
    </row>
    <row r="14" spans="1:17">
      <c r="A14" s="423"/>
      <c r="B14" s="407"/>
      <c r="C14" s="407"/>
      <c r="D14" s="429"/>
      <c r="E14" s="407"/>
      <c r="F14" s="407"/>
      <c r="G14" s="407"/>
      <c r="H14" s="407"/>
      <c r="I14" s="407"/>
      <c r="J14" s="407"/>
      <c r="K14" s="407"/>
      <c r="L14" s="407"/>
      <c r="M14" s="407"/>
      <c r="N14" s="407"/>
      <c r="O14" s="407"/>
      <c r="P14" s="407"/>
      <c r="Q14" s="407"/>
    </row>
    <row r="15" ht="28" spans="1:17">
      <c r="A15" s="419" t="s">
        <v>77</v>
      </c>
      <c r="B15" s="420" t="s">
        <v>78</v>
      </c>
      <c r="C15" s="421">
        <f>'Custo por trabalhador Servente'!D541</f>
        <v>6029.27519649445</v>
      </c>
      <c r="D15" s="422">
        <f>C15*B16</f>
        <v>6.02927519649445</v>
      </c>
      <c r="E15" s="407"/>
      <c r="F15" s="407"/>
      <c r="G15" s="407"/>
      <c r="H15" s="407"/>
      <c r="I15" s="407"/>
      <c r="J15" s="407"/>
      <c r="K15" s="407"/>
      <c r="L15" s="407"/>
      <c r="M15" s="407"/>
      <c r="N15" s="407"/>
      <c r="O15" s="407"/>
      <c r="P15" s="407"/>
      <c r="Q15" s="407"/>
    </row>
    <row r="16" spans="1:17">
      <c r="A16" s="423"/>
      <c r="B16" s="424">
        <f>1/1000</f>
        <v>0.001</v>
      </c>
      <c r="C16" s="425" t="s">
        <v>72</v>
      </c>
      <c r="D16" s="426">
        <f>D15</f>
        <v>6.02927519649445</v>
      </c>
      <c r="E16" s="407"/>
      <c r="F16" s="407"/>
      <c r="G16" s="407"/>
      <c r="H16" s="407"/>
      <c r="I16" s="407"/>
      <c r="J16" s="407"/>
      <c r="K16" s="407"/>
      <c r="L16" s="407"/>
      <c r="M16" s="407"/>
      <c r="N16" s="407"/>
      <c r="O16" s="407"/>
      <c r="P16" s="407"/>
      <c r="Q16" s="407"/>
    </row>
    <row r="17" spans="1:17">
      <c r="A17" s="423"/>
      <c r="B17" s="407"/>
      <c r="C17" s="407"/>
      <c r="D17" s="429"/>
      <c r="E17" s="407"/>
      <c r="F17" s="407"/>
      <c r="G17" s="407"/>
      <c r="H17" s="407"/>
      <c r="I17" s="407"/>
      <c r="J17" s="407"/>
      <c r="K17" s="407"/>
      <c r="L17" s="407"/>
      <c r="M17" s="407"/>
      <c r="N17" s="407"/>
      <c r="O17" s="407"/>
      <c r="P17" s="407"/>
      <c r="Q17" s="407"/>
    </row>
    <row r="18" spans="1:17">
      <c r="A18" s="419" t="s">
        <v>79</v>
      </c>
      <c r="B18" s="420" t="s">
        <v>80</v>
      </c>
      <c r="C18" s="421">
        <f>'Custo por trabalhador Servente'!D541</f>
        <v>6029.27519649445</v>
      </c>
      <c r="D18" s="422">
        <f>C18*B19</f>
        <v>30.1463759824723</v>
      </c>
      <c r="E18" s="407"/>
      <c r="F18" s="407"/>
      <c r="G18" s="407"/>
      <c r="H18" s="407"/>
      <c r="I18" s="407"/>
      <c r="J18" s="407"/>
      <c r="K18" s="407"/>
      <c r="L18" s="407"/>
      <c r="M18" s="407"/>
      <c r="N18" s="407"/>
      <c r="O18" s="407"/>
      <c r="P18" s="407"/>
      <c r="Q18" s="407"/>
    </row>
    <row r="19" ht="15.25" spans="1:17">
      <c r="A19" s="430"/>
      <c r="B19" s="431">
        <f>1/200</f>
        <v>0.005</v>
      </c>
      <c r="C19" s="432" t="s">
        <v>72</v>
      </c>
      <c r="D19" s="433">
        <f>D18</f>
        <v>30.1463759824723</v>
      </c>
      <c r="E19" s="407"/>
      <c r="F19" s="407"/>
      <c r="G19" s="407"/>
      <c r="H19" s="407"/>
      <c r="I19" s="407"/>
      <c r="J19" s="407"/>
      <c r="K19" s="407"/>
      <c r="L19" s="407"/>
      <c r="M19" s="407"/>
      <c r="N19" s="407"/>
      <c r="O19" s="407"/>
      <c r="P19" s="407"/>
      <c r="Q19" s="407"/>
    </row>
    <row r="20" ht="15.25" spans="1:17">
      <c r="A20" s="409"/>
      <c r="B20" s="409"/>
      <c r="C20" s="434"/>
      <c r="D20" s="435"/>
      <c r="E20" s="407"/>
      <c r="F20" s="407"/>
      <c r="G20" s="407"/>
      <c r="H20" s="407"/>
      <c r="I20" s="407"/>
      <c r="J20" s="407"/>
      <c r="K20" s="407"/>
      <c r="L20" s="407"/>
      <c r="M20" s="407"/>
      <c r="N20" s="407"/>
      <c r="O20" s="407"/>
      <c r="P20" s="407"/>
      <c r="Q20" s="407"/>
    </row>
    <row r="21" ht="15.25" spans="1:17">
      <c r="A21" s="408" t="s">
        <v>81</v>
      </c>
      <c r="B21" s="409"/>
      <c r="C21" s="409"/>
      <c r="D21" s="410"/>
      <c r="E21" s="407"/>
      <c r="F21" s="407"/>
      <c r="G21" s="407"/>
      <c r="H21" s="407"/>
      <c r="I21" s="407"/>
      <c r="J21" s="407"/>
      <c r="K21" s="407"/>
      <c r="L21" s="407"/>
      <c r="M21" s="407"/>
      <c r="N21" s="407"/>
      <c r="O21" s="407"/>
      <c r="P21" s="407"/>
      <c r="Q21" s="407"/>
    </row>
    <row r="22" ht="15.25" spans="1:17">
      <c r="A22" s="411"/>
      <c r="B22" s="412">
        <v>1</v>
      </c>
      <c r="C22" s="412">
        <v>2</v>
      </c>
      <c r="D22" s="412" t="s">
        <v>65</v>
      </c>
      <c r="E22" s="407"/>
      <c r="F22" s="407"/>
      <c r="G22" s="407"/>
      <c r="H22" s="407"/>
      <c r="I22" s="407"/>
      <c r="J22" s="407"/>
      <c r="K22" s="407"/>
      <c r="L22" s="407"/>
      <c r="M22" s="407"/>
      <c r="N22" s="407"/>
      <c r="O22" s="407"/>
      <c r="P22" s="407"/>
      <c r="Q22" s="407"/>
    </row>
    <row r="23" ht="28.75" spans="1:17">
      <c r="A23" s="413" t="s">
        <v>66</v>
      </c>
      <c r="B23" s="414" t="s">
        <v>67</v>
      </c>
      <c r="C23" s="414" t="s">
        <v>68</v>
      </c>
      <c r="D23" s="436" t="s">
        <v>82</v>
      </c>
      <c r="E23" s="407"/>
      <c r="F23" s="407"/>
      <c r="G23" s="407"/>
      <c r="H23" s="407"/>
      <c r="I23" s="407"/>
      <c r="J23" s="407"/>
      <c r="K23" s="407"/>
      <c r="L23" s="407"/>
      <c r="M23" s="407"/>
      <c r="N23" s="407"/>
      <c r="O23" s="407"/>
      <c r="P23" s="407"/>
      <c r="Q23" s="407"/>
    </row>
    <row r="24" spans="1:17">
      <c r="A24" s="437"/>
      <c r="B24" s="434"/>
      <c r="C24" s="407"/>
      <c r="D24" s="429"/>
      <c r="E24" s="407"/>
      <c r="F24" s="407"/>
      <c r="G24" s="407"/>
      <c r="H24" s="407"/>
      <c r="I24" s="407"/>
      <c r="J24" s="407"/>
      <c r="K24" s="407"/>
      <c r="L24" s="407"/>
      <c r="M24" s="407"/>
      <c r="N24" s="407"/>
      <c r="O24" s="407"/>
      <c r="P24" s="407"/>
      <c r="Q24" s="407"/>
    </row>
    <row r="25" ht="28" spans="1:17">
      <c r="A25" s="419" t="s">
        <v>83</v>
      </c>
      <c r="B25" s="438" t="s">
        <v>84</v>
      </c>
      <c r="C25" s="421">
        <f>'Custo por trabalhador Servente'!D541</f>
        <v>6029.27519649445</v>
      </c>
      <c r="D25" s="439">
        <f>C25*B26</f>
        <v>1.00487919941574</v>
      </c>
      <c r="E25" s="428"/>
      <c r="F25" s="407"/>
      <c r="G25" s="407"/>
      <c r="H25" s="407"/>
      <c r="I25" s="407"/>
      <c r="J25" s="407"/>
      <c r="K25" s="407"/>
      <c r="L25" s="407"/>
      <c r="M25" s="407"/>
      <c r="N25" s="407"/>
      <c r="O25" s="407"/>
      <c r="P25" s="407"/>
      <c r="Q25" s="407"/>
    </row>
    <row r="26" spans="1:17">
      <c r="A26" s="423"/>
      <c r="B26" s="440">
        <f>1/6000</f>
        <v>0.000166666666666667</v>
      </c>
      <c r="C26" s="425" t="s">
        <v>72</v>
      </c>
      <c r="D26" s="426">
        <f>D25</f>
        <v>1.00487919941574</v>
      </c>
      <c r="E26" s="428"/>
      <c r="F26" s="407"/>
      <c r="G26" s="407"/>
      <c r="H26" s="407"/>
      <c r="I26" s="407"/>
      <c r="J26" s="407"/>
      <c r="K26" s="407"/>
      <c r="L26" s="407"/>
      <c r="M26" s="407"/>
      <c r="N26" s="407"/>
      <c r="O26" s="407"/>
      <c r="P26" s="407"/>
      <c r="Q26" s="407"/>
    </row>
    <row r="27" spans="1:17">
      <c r="A27" s="423"/>
      <c r="B27" s="407"/>
      <c r="C27" s="407"/>
      <c r="D27" s="429"/>
      <c r="E27" s="407"/>
      <c r="F27" s="407"/>
      <c r="G27" s="407"/>
      <c r="H27" s="407"/>
      <c r="I27" s="407"/>
      <c r="J27" s="407"/>
      <c r="K27" s="407"/>
      <c r="L27" s="407"/>
      <c r="M27" s="407"/>
      <c r="N27" s="407"/>
      <c r="O27" s="407"/>
      <c r="P27" s="407"/>
      <c r="Q27" s="407"/>
    </row>
    <row r="28" ht="28" spans="1:17">
      <c r="A28" s="419" t="s">
        <v>85</v>
      </c>
      <c r="B28" s="420" t="s">
        <v>86</v>
      </c>
      <c r="C28" s="421">
        <f>'Custo por trabalhador Servente'!D541</f>
        <v>6029.27519649445</v>
      </c>
      <c r="D28" s="439">
        <f>C28*B29</f>
        <v>3.34959733138581</v>
      </c>
      <c r="E28" s="407"/>
      <c r="F28" s="407"/>
      <c r="G28" s="407"/>
      <c r="H28" s="407"/>
      <c r="I28" s="407"/>
      <c r="J28" s="407"/>
      <c r="K28" s="407"/>
      <c r="L28" s="407"/>
      <c r="M28" s="407"/>
      <c r="N28" s="407"/>
      <c r="O28" s="407"/>
      <c r="P28" s="407"/>
      <c r="Q28" s="407"/>
    </row>
    <row r="29" ht="15.25" spans="1:17">
      <c r="A29" s="430"/>
      <c r="B29" s="431">
        <f>1/1800</f>
        <v>0.000555555555555556</v>
      </c>
      <c r="C29" s="432" t="s">
        <v>72</v>
      </c>
      <c r="D29" s="433">
        <f>D28</f>
        <v>3.34959733138581</v>
      </c>
      <c r="E29" s="407"/>
      <c r="F29" s="407"/>
      <c r="G29" s="407"/>
      <c r="H29" s="407"/>
      <c r="I29" s="407"/>
      <c r="J29" s="407"/>
      <c r="K29" s="407"/>
      <c r="L29" s="407"/>
      <c r="M29" s="407"/>
      <c r="N29" s="407"/>
      <c r="O29" s="407"/>
      <c r="P29" s="407"/>
      <c r="Q29" s="407"/>
    </row>
    <row r="30" ht="15.25" spans="1:17">
      <c r="A30" s="407"/>
      <c r="B30" s="407"/>
      <c r="C30" s="407"/>
      <c r="D30" s="407"/>
      <c r="E30" s="407"/>
      <c r="F30" s="407"/>
      <c r="G30" s="407"/>
      <c r="H30" s="407"/>
      <c r="I30" s="407"/>
      <c r="J30" s="407"/>
      <c r="K30" s="407"/>
      <c r="L30" s="407"/>
      <c r="M30" s="407"/>
      <c r="N30" s="407"/>
      <c r="O30" s="407"/>
      <c r="P30" s="407"/>
      <c r="Q30" s="407"/>
    </row>
    <row r="31" ht="15.25" spans="1:17">
      <c r="A31" s="408" t="s">
        <v>87</v>
      </c>
      <c r="B31" s="407"/>
      <c r="C31" s="407"/>
      <c r="D31" s="407"/>
      <c r="E31" s="407"/>
      <c r="F31" s="441"/>
      <c r="G31" s="407"/>
      <c r="H31" s="407"/>
      <c r="I31" s="407"/>
      <c r="J31" s="407"/>
      <c r="K31" s="407"/>
      <c r="L31" s="407"/>
      <c r="M31" s="407"/>
      <c r="N31" s="407"/>
      <c r="O31" s="407"/>
      <c r="P31" s="407"/>
      <c r="Q31" s="407"/>
    </row>
    <row r="32" ht="28.75" spans="1:17">
      <c r="A32" s="411"/>
      <c r="B32" s="412">
        <v>1</v>
      </c>
      <c r="C32" s="412">
        <v>2</v>
      </c>
      <c r="D32" s="412">
        <v>3</v>
      </c>
      <c r="E32" s="412">
        <v>4</v>
      </c>
      <c r="F32" s="412" t="s">
        <v>88</v>
      </c>
      <c r="G32" s="407"/>
      <c r="H32" s="407"/>
      <c r="I32" s="407"/>
      <c r="J32" s="407"/>
      <c r="K32" s="407"/>
      <c r="L32" s="407"/>
      <c r="M32" s="407"/>
      <c r="N32" s="407"/>
      <c r="O32" s="407"/>
      <c r="P32" s="407"/>
      <c r="Q32" s="407"/>
    </row>
    <row r="33" ht="43.5" spans="1:17">
      <c r="A33" s="442" t="s">
        <v>66</v>
      </c>
      <c r="B33" s="443" t="s">
        <v>89</v>
      </c>
      <c r="C33" s="444" t="s">
        <v>90</v>
      </c>
      <c r="D33" s="444" t="s">
        <v>91</v>
      </c>
      <c r="E33" s="443" t="s">
        <v>68</v>
      </c>
      <c r="F33" s="445" t="s">
        <v>92</v>
      </c>
      <c r="G33" s="407"/>
      <c r="H33" s="407"/>
      <c r="I33" s="407"/>
      <c r="J33" s="407"/>
      <c r="K33" s="407"/>
      <c r="L33" s="407"/>
      <c r="M33" s="407"/>
      <c r="N33" s="407"/>
      <c r="O33" s="407"/>
      <c r="P33" s="407"/>
      <c r="Q33" s="407"/>
    </row>
    <row r="34" spans="1:17">
      <c r="A34" s="446"/>
      <c r="B34" s="434"/>
      <c r="C34" s="447"/>
      <c r="D34" s="447"/>
      <c r="E34" s="434"/>
      <c r="F34" s="448"/>
      <c r="G34" s="407"/>
      <c r="H34" s="407"/>
      <c r="I34" s="407"/>
      <c r="J34" s="407"/>
      <c r="K34" s="407"/>
      <c r="L34" s="407"/>
      <c r="M34" s="407"/>
      <c r="N34" s="407"/>
      <c r="O34" s="407"/>
      <c r="P34" s="407"/>
      <c r="Q34" s="407"/>
    </row>
    <row r="35" ht="28" spans="1:17">
      <c r="A35" s="449" t="s">
        <v>93</v>
      </c>
      <c r="B35" s="420" t="s">
        <v>94</v>
      </c>
      <c r="C35" s="450">
        <v>16</v>
      </c>
      <c r="D35" s="450" t="s">
        <v>95</v>
      </c>
      <c r="E35" s="421">
        <f>'Custo por trabalhador Servente'!D541</f>
        <v>6029.27519649445</v>
      </c>
      <c r="F35" s="422">
        <f>E35*D36*C36*B36</f>
        <v>1.70354600451916</v>
      </c>
      <c r="G35" s="407"/>
      <c r="H35" s="407"/>
      <c r="I35" s="407"/>
      <c r="J35" s="407"/>
      <c r="K35" s="407"/>
      <c r="L35" s="407"/>
      <c r="M35" s="407"/>
      <c r="N35" s="407"/>
      <c r="O35" s="407"/>
      <c r="P35" s="407"/>
      <c r="Q35" s="407"/>
    </row>
    <row r="36" spans="1:17">
      <c r="A36" s="437"/>
      <c r="B36" s="424">
        <f>1/300</f>
        <v>0.00333333333333333</v>
      </c>
      <c r="C36" s="451">
        <v>16</v>
      </c>
      <c r="D36" s="451">
        <f>1/188.76</f>
        <v>0.00529773257045984</v>
      </c>
      <c r="E36" s="452" t="s">
        <v>72</v>
      </c>
      <c r="F36" s="453">
        <f>F35</f>
        <v>1.70354600451916</v>
      </c>
      <c r="G36" s="407"/>
      <c r="H36" s="407"/>
      <c r="I36" s="407"/>
      <c r="J36" s="407"/>
      <c r="K36" s="407"/>
      <c r="L36" s="407"/>
      <c r="M36" s="407"/>
      <c r="N36" s="407"/>
      <c r="O36" s="407"/>
      <c r="P36" s="407"/>
      <c r="Q36" s="407"/>
    </row>
    <row r="37" spans="1:17">
      <c r="A37" s="437"/>
      <c r="B37" s="26"/>
      <c r="C37" s="26"/>
      <c r="D37" s="26"/>
      <c r="E37" s="26"/>
      <c r="F37" s="429"/>
      <c r="G37" s="407"/>
      <c r="H37" s="407"/>
      <c r="I37" s="407"/>
      <c r="J37" s="407"/>
      <c r="K37" s="407"/>
      <c r="L37" s="407"/>
      <c r="M37" s="407"/>
      <c r="N37" s="407"/>
      <c r="O37" s="407"/>
      <c r="P37" s="407"/>
      <c r="Q37" s="407"/>
    </row>
    <row r="38" spans="1:17">
      <c r="A38" s="454" t="s">
        <v>96</v>
      </c>
      <c r="B38" s="420" t="s">
        <v>94</v>
      </c>
      <c r="C38" s="450">
        <v>16</v>
      </c>
      <c r="D38" s="450" t="s">
        <v>95</v>
      </c>
      <c r="E38" s="421">
        <f>'Custo por trabalhador Servente'!D541</f>
        <v>6029.27519649445</v>
      </c>
      <c r="F38" s="422">
        <f>E38*D39*C39*B39</f>
        <v>1.70354600451916</v>
      </c>
      <c r="G38" s="407"/>
      <c r="H38" s="407"/>
      <c r="I38" s="407"/>
      <c r="J38" s="407"/>
      <c r="K38" s="407"/>
      <c r="L38" s="407"/>
      <c r="M38" s="407"/>
      <c r="N38" s="407"/>
      <c r="O38" s="407"/>
      <c r="P38" s="407"/>
      <c r="Q38" s="407"/>
    </row>
    <row r="39" ht="15.25" spans="1:17">
      <c r="A39" s="455"/>
      <c r="B39" s="456">
        <f>1/300</f>
        <v>0.00333333333333333</v>
      </c>
      <c r="C39" s="457">
        <v>16</v>
      </c>
      <c r="D39" s="457">
        <f>1/188.76</f>
        <v>0.00529773257045984</v>
      </c>
      <c r="E39" s="458" t="s">
        <v>72</v>
      </c>
      <c r="F39" s="459">
        <f>F38</f>
        <v>1.70354600451916</v>
      </c>
      <c r="G39" s="407"/>
      <c r="H39" s="407"/>
      <c r="I39" s="407"/>
      <c r="J39" s="407"/>
      <c r="K39" s="407"/>
      <c r="L39" s="407"/>
      <c r="M39" s="407"/>
      <c r="N39" s="407"/>
      <c r="O39" s="407"/>
      <c r="P39" s="407"/>
      <c r="Q39" s="407"/>
    </row>
    <row r="40" ht="15.25" spans="1:17">
      <c r="A40" s="434"/>
      <c r="B40" s="434"/>
      <c r="C40" s="26"/>
      <c r="D40" s="26"/>
      <c r="E40" s="407"/>
      <c r="F40" s="407"/>
      <c r="G40" s="407"/>
      <c r="H40" s="407"/>
      <c r="I40" s="407"/>
      <c r="J40" s="407"/>
      <c r="K40" s="407"/>
      <c r="L40" s="407"/>
      <c r="M40" s="407"/>
      <c r="N40" s="407"/>
      <c r="O40" s="407"/>
      <c r="P40" s="407"/>
      <c r="Q40" s="407"/>
    </row>
    <row r="41" ht="15.25" spans="1:17">
      <c r="A41" s="460" t="s">
        <v>97</v>
      </c>
      <c r="B41" s="461"/>
      <c r="C41" s="461"/>
      <c r="D41" s="461"/>
      <c r="E41" s="462"/>
      <c r="F41" s="407"/>
      <c r="G41" s="407"/>
      <c r="H41" s="407"/>
      <c r="I41" s="407"/>
      <c r="J41" s="407"/>
      <c r="K41" s="407"/>
      <c r="L41" s="407"/>
      <c r="M41" s="407"/>
      <c r="N41" s="407"/>
      <c r="O41" s="407"/>
      <c r="P41" s="407"/>
      <c r="Q41" s="407"/>
    </row>
    <row r="42" ht="28" spans="1:17">
      <c r="A42" s="463" t="s">
        <v>98</v>
      </c>
      <c r="B42" s="464" t="s">
        <v>7</v>
      </c>
      <c r="C42" s="464" t="s">
        <v>99</v>
      </c>
      <c r="D42" s="464" t="s">
        <v>100</v>
      </c>
      <c r="E42" s="465" t="s">
        <v>101</v>
      </c>
      <c r="F42" s="407"/>
      <c r="G42" s="407"/>
      <c r="H42" s="407"/>
      <c r="I42" s="407"/>
      <c r="J42" s="407"/>
      <c r="K42" s="407"/>
      <c r="L42" s="407"/>
      <c r="M42" s="407"/>
      <c r="N42" s="407"/>
      <c r="O42" s="407"/>
      <c r="P42" s="407"/>
      <c r="Q42" s="407"/>
    </row>
    <row r="43" spans="1:17">
      <c r="A43" s="466" t="s">
        <v>102</v>
      </c>
      <c r="B43" s="467">
        <v>6216</v>
      </c>
      <c r="C43" s="467">
        <v>800</v>
      </c>
      <c r="D43" s="468">
        <f>D7</f>
        <v>7.53659399561806</v>
      </c>
      <c r="E43" s="469">
        <f t="shared" ref="E43:E51" si="0">D43*B43</f>
        <v>46847.4682767619</v>
      </c>
      <c r="F43" s="407"/>
      <c r="G43" s="407"/>
      <c r="H43" s="407"/>
      <c r="I43" s="407"/>
      <c r="J43" s="407"/>
      <c r="K43" s="407"/>
      <c r="L43" s="407"/>
      <c r="M43" s="407"/>
      <c r="N43" s="407"/>
      <c r="O43" s="407"/>
      <c r="P43" s="407"/>
      <c r="Q43" s="407"/>
    </row>
    <row r="44" ht="28" spans="1:17">
      <c r="A44" s="466" t="s">
        <v>103</v>
      </c>
      <c r="B44" s="467">
        <v>1895</v>
      </c>
      <c r="C44" s="467">
        <v>360</v>
      </c>
      <c r="D44" s="468">
        <f>D10</f>
        <v>16.747986656929</v>
      </c>
      <c r="E44" s="469">
        <f t="shared" si="0"/>
        <v>31737.4347148805</v>
      </c>
      <c r="F44" s="407"/>
      <c r="G44" s="407"/>
      <c r="H44" s="407"/>
      <c r="I44" s="407"/>
      <c r="J44" s="407"/>
      <c r="K44" s="407"/>
      <c r="L44" s="407"/>
      <c r="M44" s="407"/>
      <c r="N44" s="407"/>
      <c r="O44" s="407"/>
      <c r="P44" s="407"/>
      <c r="Q44" s="407"/>
    </row>
    <row r="45" ht="28" spans="1:17">
      <c r="A45" s="466" t="s">
        <v>104</v>
      </c>
      <c r="B45" s="467">
        <v>160</v>
      </c>
      <c r="C45" s="467">
        <v>1500</v>
      </c>
      <c r="D45" s="468">
        <f>D13</f>
        <v>4.01951679766297</v>
      </c>
      <c r="E45" s="470">
        <f t="shared" si="0"/>
        <v>643.122687626075</v>
      </c>
      <c r="F45" s="407"/>
      <c r="G45" s="407"/>
      <c r="H45" s="407"/>
      <c r="I45" s="407"/>
      <c r="J45" s="407"/>
      <c r="K45" s="407"/>
      <c r="L45" s="407"/>
      <c r="M45" s="407"/>
      <c r="N45" s="407"/>
      <c r="O45" s="407"/>
      <c r="P45" s="407"/>
      <c r="Q45" s="407"/>
    </row>
    <row r="46" ht="42" spans="1:17">
      <c r="A46" s="466" t="s">
        <v>105</v>
      </c>
      <c r="B46" s="467">
        <v>427</v>
      </c>
      <c r="C46" s="467">
        <v>1000</v>
      </c>
      <c r="D46" s="468">
        <f>D16</f>
        <v>6.02927519649445</v>
      </c>
      <c r="E46" s="469">
        <f t="shared" si="0"/>
        <v>2574.50050890313</v>
      </c>
      <c r="F46" s="407"/>
      <c r="G46" s="407"/>
      <c r="H46" s="407"/>
      <c r="I46" s="407"/>
      <c r="J46" s="407"/>
      <c r="K46" s="407"/>
      <c r="L46" s="407"/>
      <c r="M46" s="407"/>
      <c r="N46" s="407"/>
      <c r="O46" s="407"/>
      <c r="P46" s="407"/>
      <c r="Q46" s="407"/>
    </row>
    <row r="47" spans="1:17">
      <c r="A47" s="466" t="s">
        <v>106</v>
      </c>
      <c r="B47" s="467">
        <v>684</v>
      </c>
      <c r="C47" s="467">
        <v>200</v>
      </c>
      <c r="D47" s="468">
        <f>D19</f>
        <v>30.1463759824723</v>
      </c>
      <c r="E47" s="469">
        <f t="shared" si="0"/>
        <v>20620.121172011</v>
      </c>
      <c r="F47" s="407"/>
      <c r="G47" s="407"/>
      <c r="H47" s="407"/>
      <c r="I47" s="407"/>
      <c r="J47" s="407"/>
      <c r="K47" s="407"/>
      <c r="L47" s="407"/>
      <c r="M47" s="407"/>
      <c r="N47" s="407"/>
      <c r="O47" s="407"/>
      <c r="P47" s="407"/>
      <c r="Q47" s="407"/>
    </row>
    <row r="48" ht="28" spans="1:17">
      <c r="A48" s="471" t="s">
        <v>107</v>
      </c>
      <c r="B48" s="472">
        <v>695</v>
      </c>
      <c r="C48" s="472">
        <v>6000</v>
      </c>
      <c r="D48" s="473">
        <f>D26</f>
        <v>1.00487919941574</v>
      </c>
      <c r="E48" s="474">
        <f t="shared" si="0"/>
        <v>698.39104359394</v>
      </c>
      <c r="F48" s="407"/>
      <c r="G48" s="407"/>
      <c r="H48" s="407"/>
      <c r="I48" s="407"/>
      <c r="J48" s="407"/>
      <c r="K48" s="407"/>
      <c r="L48" s="407"/>
      <c r="M48" s="407"/>
      <c r="N48" s="407"/>
      <c r="O48" s="407"/>
      <c r="P48" s="407"/>
      <c r="Q48" s="407"/>
    </row>
    <row r="49" ht="42" spans="1:17">
      <c r="A49" s="471" t="s">
        <v>108</v>
      </c>
      <c r="B49" s="472">
        <v>1630</v>
      </c>
      <c r="C49" s="475">
        <v>1800</v>
      </c>
      <c r="D49" s="473">
        <f>D29</f>
        <v>3.34959733138581</v>
      </c>
      <c r="E49" s="476">
        <f t="shared" si="0"/>
        <v>5459.84365015886</v>
      </c>
      <c r="F49" s="407"/>
      <c r="G49" s="407"/>
      <c r="H49" s="407"/>
      <c r="I49" s="407"/>
      <c r="J49" s="407"/>
      <c r="K49" s="407"/>
      <c r="L49" s="407"/>
      <c r="M49" s="407"/>
      <c r="N49" s="407"/>
      <c r="O49" s="407"/>
      <c r="P49" s="407"/>
      <c r="Q49" s="407"/>
    </row>
    <row r="50" ht="42" spans="1:17">
      <c r="A50" s="477" t="s">
        <v>109</v>
      </c>
      <c r="B50" s="478">
        <v>318.56</v>
      </c>
      <c r="C50" s="478">
        <v>300</v>
      </c>
      <c r="D50" s="479">
        <f>F36</f>
        <v>1.70354600451916</v>
      </c>
      <c r="E50" s="480">
        <f t="shared" si="0"/>
        <v>542.681615199625</v>
      </c>
      <c r="F50" s="407"/>
      <c r="G50" s="407"/>
      <c r="H50" s="407"/>
      <c r="I50" s="407"/>
      <c r="J50" s="407"/>
      <c r="K50" s="407"/>
      <c r="L50" s="407"/>
      <c r="M50" s="407"/>
      <c r="N50" s="407"/>
      <c r="O50" s="407"/>
      <c r="P50" s="407"/>
      <c r="Q50" s="407"/>
    </row>
    <row r="51" ht="28.75" spans="1:17">
      <c r="A51" s="481" t="s">
        <v>110</v>
      </c>
      <c r="B51" s="482">
        <v>318.56</v>
      </c>
      <c r="C51" s="482">
        <v>300</v>
      </c>
      <c r="D51" s="483">
        <f>F39</f>
        <v>1.70354600451916</v>
      </c>
      <c r="E51" s="484">
        <f t="shared" si="0"/>
        <v>542.681615199625</v>
      </c>
      <c r="F51" s="407"/>
      <c r="G51" s="407"/>
      <c r="H51" s="407"/>
      <c r="I51" s="407"/>
      <c r="J51" s="407"/>
      <c r="K51" s="407"/>
      <c r="L51" s="407"/>
      <c r="M51" s="407"/>
      <c r="N51" s="407"/>
      <c r="O51" s="407"/>
      <c r="P51" s="407"/>
      <c r="Q51" s="407"/>
    </row>
    <row r="52" ht="15.25" spans="1:17">
      <c r="A52" s="485" t="s">
        <v>72</v>
      </c>
      <c r="B52" s="486"/>
      <c r="C52" s="486"/>
      <c r="D52" s="487"/>
      <c r="E52" s="488">
        <f>SUM(E43:E51)</f>
        <v>109666.245284335</v>
      </c>
      <c r="F52" s="26"/>
      <c r="G52" s="26"/>
      <c r="H52" s="26"/>
      <c r="I52" s="26"/>
      <c r="J52" s="407"/>
      <c r="K52" s="407"/>
      <c r="L52" s="407"/>
      <c r="M52" s="407"/>
      <c r="N52" s="407"/>
      <c r="O52" s="407"/>
      <c r="P52" s="407"/>
      <c r="Q52" s="407"/>
    </row>
    <row r="53" ht="15.25" spans="1:17">
      <c r="A53" s="409"/>
      <c r="B53" s="409"/>
      <c r="C53" s="489" t="s">
        <v>111</v>
      </c>
      <c r="D53" s="489" t="s">
        <v>112</v>
      </c>
      <c r="E53" s="489" t="s">
        <v>113</v>
      </c>
      <c r="F53" s="26"/>
      <c r="G53" s="26"/>
      <c r="H53" s="26"/>
      <c r="I53" s="26"/>
      <c r="J53" s="26"/>
      <c r="K53" s="407"/>
      <c r="L53" s="407"/>
      <c r="M53" s="407"/>
      <c r="N53" s="407"/>
      <c r="O53" s="407"/>
      <c r="P53" s="407"/>
      <c r="Q53" s="407"/>
    </row>
    <row r="54" ht="15.25" spans="1:17">
      <c r="A54" s="407"/>
      <c r="B54" s="407"/>
      <c r="C54" s="490">
        <f>SUM(B43:B51)</f>
        <v>12344.12</v>
      </c>
      <c r="D54" s="488">
        <f>E52/C54</f>
        <v>8.88408775063226</v>
      </c>
      <c r="E54" s="491">
        <f>(B43/C43)+(B44/C44)+(B45/C45)+(B46/C46)+(B47/C47)+(B48/C48)+(B49/C49)+(B50*B36*C36*D36)+(B51*B39*C39*D39)</f>
        <v>18.18895998446</v>
      </c>
      <c r="F54" s="26"/>
      <c r="G54" s="407"/>
      <c r="H54" s="407"/>
      <c r="I54" s="407"/>
      <c r="J54" s="407"/>
      <c r="K54" s="407"/>
      <c r="L54" s="407"/>
      <c r="M54" s="407"/>
      <c r="N54" s="407"/>
      <c r="O54" s="407"/>
      <c r="P54" s="407"/>
      <c r="Q54" s="407"/>
    </row>
    <row r="55" spans="1:17">
      <c r="A55" s="26"/>
      <c r="B55" s="26"/>
      <c r="C55" s="26"/>
      <c r="D55" s="26"/>
      <c r="E55" s="26"/>
      <c r="F55" s="26"/>
      <c r="G55" s="407"/>
      <c r="H55" s="407"/>
      <c r="I55" s="407"/>
      <c r="J55" s="407"/>
      <c r="K55" s="407"/>
      <c r="L55" s="407"/>
      <c r="M55" s="407"/>
      <c r="N55" s="407"/>
      <c r="O55" s="407"/>
      <c r="P55" s="407"/>
      <c r="Q55" s="407"/>
    </row>
    <row r="56" spans="1:17">
      <c r="A56" s="407" t="s">
        <v>47</v>
      </c>
      <c r="B56" s="492" t="s">
        <v>114</v>
      </c>
      <c r="C56" s="492"/>
      <c r="D56" s="26"/>
      <c r="E56" s="26"/>
      <c r="F56" s="26"/>
      <c r="G56" s="407"/>
      <c r="H56" s="407"/>
      <c r="I56" s="407"/>
      <c r="J56" s="407"/>
      <c r="K56" s="407"/>
      <c r="L56" s="407"/>
      <c r="M56" s="407"/>
      <c r="N56" s="407"/>
      <c r="O56" s="407"/>
      <c r="P56" s="407"/>
      <c r="Q56" s="407"/>
    </row>
    <row r="57" spans="1:17">
      <c r="A57" s="26"/>
      <c r="B57" s="26"/>
      <c r="C57" s="26"/>
      <c r="D57" s="26"/>
      <c r="E57" s="26"/>
      <c r="F57" s="26"/>
      <c r="G57" s="407"/>
      <c r="H57" s="407"/>
      <c r="I57" s="407"/>
      <c r="J57" s="407"/>
      <c r="K57" s="407"/>
      <c r="L57" s="407"/>
      <c r="M57" s="407"/>
      <c r="N57" s="407"/>
      <c r="O57" s="407"/>
      <c r="P57" s="407"/>
      <c r="Q57" s="407"/>
    </row>
    <row r="58" spans="1:17">
      <c r="A58" s="26"/>
      <c r="B58" s="26"/>
      <c r="C58" s="26"/>
      <c r="D58" s="26"/>
      <c r="E58" s="26"/>
      <c r="F58" s="26"/>
      <c r="G58" s="407"/>
      <c r="H58" s="407"/>
      <c r="I58" s="407"/>
      <c r="J58" s="407"/>
      <c r="K58" s="407"/>
      <c r="L58" s="407"/>
      <c r="M58" s="407"/>
      <c r="N58" s="407"/>
      <c r="O58" s="407"/>
      <c r="P58" s="407"/>
      <c r="Q58" s="407"/>
    </row>
    <row r="59" spans="1:17">
      <c r="A59" s="26"/>
      <c r="B59" s="26"/>
      <c r="C59" s="26"/>
      <c r="D59" s="26"/>
      <c r="E59" s="26"/>
      <c r="F59" s="26"/>
      <c r="G59" s="407"/>
      <c r="H59" s="407"/>
      <c r="I59" s="407"/>
      <c r="J59" s="407"/>
      <c r="K59" s="407"/>
      <c r="L59" s="407"/>
      <c r="M59" s="407"/>
      <c r="N59" s="407"/>
      <c r="O59" s="407"/>
      <c r="P59" s="407"/>
      <c r="Q59" s="407"/>
    </row>
    <row r="60" spans="1:17">
      <c r="A60" s="26"/>
      <c r="B60" s="26"/>
      <c r="C60" s="26"/>
      <c r="D60" s="26"/>
      <c r="E60" s="26"/>
      <c r="F60" s="26"/>
      <c r="G60" s="407"/>
      <c r="H60" s="407"/>
      <c r="I60" s="407"/>
      <c r="J60" s="407"/>
      <c r="K60" s="407"/>
      <c r="L60" s="407"/>
      <c r="M60" s="407"/>
      <c r="N60" s="407"/>
      <c r="O60" s="407"/>
      <c r="P60" s="407"/>
      <c r="Q60" s="407"/>
    </row>
    <row r="61" spans="1:17">
      <c r="A61" s="26"/>
      <c r="B61" s="26"/>
      <c r="C61" s="26"/>
      <c r="D61" s="26"/>
      <c r="E61" s="26"/>
      <c r="F61" s="26"/>
      <c r="G61" s="407"/>
      <c r="H61" s="407"/>
      <c r="I61" s="407"/>
      <c r="J61" s="407"/>
      <c r="K61" s="407"/>
      <c r="L61" s="407"/>
      <c r="M61" s="407"/>
      <c r="N61" s="407"/>
      <c r="O61" s="407"/>
      <c r="P61" s="407"/>
      <c r="Q61" s="407"/>
    </row>
    <row r="62" spans="1:17">
      <c r="A62" s="26"/>
      <c r="B62" s="26"/>
      <c r="C62" s="26"/>
      <c r="D62" s="26"/>
      <c r="E62" s="26"/>
      <c r="F62" s="26"/>
      <c r="G62" s="407"/>
      <c r="H62" s="407"/>
      <c r="I62" s="407"/>
      <c r="J62" s="407"/>
      <c r="K62" s="407"/>
      <c r="L62" s="407"/>
      <c r="M62" s="407"/>
      <c r="N62" s="407"/>
      <c r="O62" s="407"/>
      <c r="P62" s="407"/>
      <c r="Q62" s="407"/>
    </row>
    <row r="63" spans="1:17">
      <c r="A63" s="26"/>
      <c r="B63" s="26"/>
      <c r="C63" s="26"/>
      <c r="D63" s="26"/>
      <c r="E63" s="26"/>
      <c r="F63" s="26"/>
      <c r="G63" s="407"/>
      <c r="H63" s="407"/>
      <c r="I63" s="407"/>
      <c r="J63" s="407"/>
      <c r="K63" s="407"/>
      <c r="L63" s="407"/>
      <c r="M63" s="407"/>
      <c r="N63" s="407"/>
      <c r="O63" s="407"/>
      <c r="P63" s="407"/>
      <c r="Q63" s="407"/>
    </row>
    <row r="64" spans="1:17">
      <c r="A64" s="26"/>
      <c r="B64" s="26"/>
      <c r="C64" s="26"/>
      <c r="D64" s="26"/>
      <c r="E64" s="26"/>
      <c r="F64" s="26"/>
      <c r="G64" s="407"/>
      <c r="H64" s="407"/>
      <c r="I64" s="407"/>
      <c r="J64" s="407"/>
      <c r="K64" s="407"/>
      <c r="L64" s="407"/>
      <c r="M64" s="407"/>
      <c r="N64" s="407"/>
      <c r="O64" s="407"/>
      <c r="P64" s="407"/>
      <c r="Q64" s="407"/>
    </row>
    <row r="65" spans="1:17">
      <c r="A65" s="26"/>
      <c r="B65" s="26"/>
      <c r="C65" s="26"/>
      <c r="D65" s="26"/>
      <c r="E65" s="26"/>
      <c r="F65" s="26"/>
      <c r="G65" s="407"/>
      <c r="H65" s="407"/>
      <c r="I65" s="407"/>
      <c r="J65" s="407"/>
      <c r="K65" s="407"/>
      <c r="L65" s="407"/>
      <c r="M65" s="407"/>
      <c r="N65" s="407"/>
      <c r="O65" s="407"/>
      <c r="P65" s="407"/>
      <c r="Q65" s="407"/>
    </row>
    <row r="66" spans="1:17">
      <c r="A66" s="26"/>
      <c r="B66" s="26"/>
      <c r="C66" s="26"/>
      <c r="D66" s="26"/>
      <c r="E66" s="26"/>
      <c r="F66" s="26"/>
      <c r="G66" s="407"/>
      <c r="H66" s="407"/>
      <c r="I66" s="407"/>
      <c r="J66" s="407"/>
      <c r="K66" s="407"/>
      <c r="L66" s="407"/>
      <c r="M66" s="407"/>
      <c r="N66" s="407"/>
      <c r="O66" s="407"/>
      <c r="P66" s="407"/>
      <c r="Q66" s="407"/>
    </row>
    <row r="67" spans="1:17">
      <c r="A67" s="26"/>
      <c r="B67" s="26"/>
      <c r="C67" s="26"/>
      <c r="D67" s="26"/>
      <c r="E67" s="26"/>
      <c r="F67" s="26"/>
      <c r="G67" s="26"/>
      <c r="H67" s="26"/>
      <c r="I67" s="26"/>
      <c r="J67" s="26"/>
      <c r="K67" s="26"/>
      <c r="L67" s="26"/>
      <c r="M67" s="26"/>
      <c r="N67" s="26"/>
      <c r="O67" s="26"/>
      <c r="P67" s="26"/>
      <c r="Q67" s="26"/>
    </row>
    <row r="68" spans="1:17">
      <c r="A68" s="26"/>
      <c r="B68" s="26"/>
      <c r="C68" s="26"/>
      <c r="D68" s="26"/>
      <c r="E68" s="26"/>
      <c r="F68" s="26"/>
      <c r="G68" s="26"/>
      <c r="H68" s="26"/>
      <c r="I68" s="26"/>
      <c r="J68" s="26"/>
      <c r="K68" s="26"/>
      <c r="L68" s="26"/>
      <c r="M68" s="26"/>
      <c r="N68" s="26"/>
      <c r="O68" s="26"/>
      <c r="P68" s="26"/>
      <c r="Q68" s="26"/>
    </row>
    <row r="69" spans="1:17">
      <c r="A69" s="26"/>
      <c r="B69" s="26"/>
      <c r="C69" s="26"/>
      <c r="D69" s="26"/>
      <c r="E69" s="26"/>
      <c r="F69" s="26"/>
      <c r="G69" s="26"/>
      <c r="H69" s="26"/>
      <c r="I69" s="26"/>
      <c r="J69" s="26"/>
      <c r="K69" s="26"/>
      <c r="L69" s="26"/>
      <c r="M69" s="26"/>
      <c r="N69" s="26"/>
      <c r="O69" s="26"/>
      <c r="P69" s="26"/>
      <c r="Q69" s="26"/>
    </row>
    <row r="70" spans="1:17">
      <c r="A70" s="26"/>
      <c r="B70" s="26"/>
      <c r="C70" s="26"/>
      <c r="D70" s="26"/>
      <c r="E70" s="26"/>
      <c r="F70" s="26"/>
      <c r="G70" s="26"/>
      <c r="H70" s="26"/>
      <c r="I70" s="26"/>
      <c r="J70" s="26"/>
      <c r="K70" s="26"/>
      <c r="L70" s="26"/>
      <c r="M70" s="26"/>
      <c r="N70" s="26"/>
      <c r="O70" s="26"/>
      <c r="P70" s="26"/>
      <c r="Q70" s="26"/>
    </row>
    <row r="71" spans="1:17">
      <c r="A71" s="26"/>
      <c r="B71" s="26"/>
      <c r="C71" s="26"/>
      <c r="D71" s="26"/>
      <c r="E71" s="26"/>
      <c r="F71" s="26"/>
      <c r="G71" s="26"/>
      <c r="H71" s="26"/>
      <c r="I71" s="26"/>
      <c r="J71" s="26"/>
      <c r="K71" s="26"/>
      <c r="L71" s="26"/>
      <c r="M71" s="26"/>
      <c r="N71" s="26"/>
      <c r="O71" s="26"/>
      <c r="P71" s="26"/>
      <c r="Q71" s="26"/>
    </row>
    <row r="72" spans="1:17">
      <c r="A72" s="26"/>
      <c r="B72" s="26"/>
      <c r="C72" s="26"/>
      <c r="D72" s="26"/>
      <c r="E72" s="26"/>
      <c r="F72" s="26"/>
      <c r="G72" s="26"/>
      <c r="H72" s="26"/>
      <c r="I72" s="26"/>
      <c r="J72" s="26"/>
      <c r="K72" s="26"/>
      <c r="L72" s="26"/>
      <c r="M72" s="26"/>
      <c r="N72" s="26"/>
      <c r="O72" s="26"/>
      <c r="P72" s="26"/>
      <c r="Q72" s="26"/>
    </row>
    <row r="73" spans="1:17">
      <c r="A73" s="26"/>
      <c r="B73" s="26"/>
      <c r="C73" s="26"/>
      <c r="D73" s="26"/>
      <c r="E73" s="26"/>
      <c r="F73" s="26"/>
      <c r="G73" s="26"/>
      <c r="H73" s="26"/>
      <c r="I73" s="26"/>
      <c r="J73" s="26"/>
      <c r="K73" s="26"/>
      <c r="L73" s="26"/>
      <c r="M73" s="26"/>
      <c r="N73" s="26"/>
      <c r="O73" s="26"/>
      <c r="P73" s="26"/>
      <c r="Q73" s="26"/>
    </row>
    <row r="74" spans="1:17">
      <c r="A74" s="26"/>
      <c r="B74" s="26"/>
      <c r="C74" s="26"/>
      <c r="D74" s="26"/>
      <c r="E74" s="26"/>
      <c r="F74" s="26"/>
      <c r="G74" s="26"/>
      <c r="H74" s="26"/>
      <c r="I74" s="26"/>
      <c r="J74" s="26"/>
      <c r="K74" s="26"/>
      <c r="L74" s="26"/>
      <c r="M74" s="26"/>
      <c r="N74" s="26"/>
      <c r="O74" s="26"/>
      <c r="P74" s="26"/>
      <c r="Q74" s="26"/>
    </row>
    <row r="75" spans="1:17">
      <c r="A75" s="26"/>
      <c r="B75" s="26"/>
      <c r="C75" s="26"/>
      <c r="D75" s="26"/>
      <c r="E75" s="26"/>
      <c r="F75" s="26"/>
      <c r="G75" s="26"/>
      <c r="H75" s="26"/>
      <c r="I75" s="26"/>
      <c r="J75" s="26"/>
      <c r="K75" s="26"/>
      <c r="L75" s="26"/>
      <c r="M75" s="26"/>
      <c r="N75" s="26"/>
      <c r="O75" s="26"/>
      <c r="P75" s="26"/>
      <c r="Q75" s="26"/>
    </row>
    <row r="76" spans="1:17">
      <c r="A76" s="26"/>
      <c r="B76" s="26"/>
      <c r="C76" s="26"/>
      <c r="D76" s="26"/>
      <c r="E76" s="26"/>
      <c r="F76" s="26"/>
      <c r="G76" s="26"/>
      <c r="H76" s="26"/>
      <c r="I76" s="26"/>
      <c r="J76" s="26"/>
      <c r="K76" s="26"/>
      <c r="L76" s="26"/>
      <c r="M76" s="26"/>
      <c r="N76" s="26"/>
      <c r="O76" s="26"/>
      <c r="P76" s="26"/>
      <c r="Q76" s="26"/>
    </row>
    <row r="77" spans="1:17">
      <c r="A77" s="26"/>
      <c r="B77" s="26"/>
      <c r="C77" s="26"/>
      <c r="D77" s="26"/>
      <c r="E77" s="26"/>
      <c r="F77" s="26"/>
      <c r="G77" s="26"/>
      <c r="H77" s="26"/>
      <c r="I77" s="26"/>
      <c r="J77" s="26"/>
      <c r="K77" s="26"/>
      <c r="L77" s="26"/>
      <c r="M77" s="26"/>
      <c r="N77" s="26"/>
      <c r="O77" s="26"/>
      <c r="P77" s="26"/>
      <c r="Q77" s="26"/>
    </row>
    <row r="78" spans="1:17">
      <c r="A78" s="26"/>
      <c r="B78" s="26"/>
      <c r="C78" s="26"/>
      <c r="D78" s="26"/>
      <c r="E78" s="26"/>
      <c r="F78" s="26"/>
      <c r="G78" s="26"/>
      <c r="H78" s="26"/>
      <c r="I78" s="26"/>
      <c r="J78" s="26"/>
      <c r="K78" s="26"/>
      <c r="L78" s="26"/>
      <c r="M78" s="26"/>
      <c r="N78" s="26"/>
      <c r="O78" s="26"/>
      <c r="P78" s="26"/>
      <c r="Q78" s="26"/>
    </row>
    <row r="79" spans="1:17">
      <c r="A79" s="26"/>
      <c r="B79" s="26"/>
      <c r="C79" s="26"/>
      <c r="D79" s="26"/>
      <c r="E79" s="26"/>
      <c r="F79" s="26"/>
      <c r="G79" s="26"/>
      <c r="H79" s="26"/>
      <c r="I79" s="26"/>
      <c r="J79" s="26"/>
      <c r="K79" s="26"/>
      <c r="L79" s="26"/>
      <c r="M79" s="26"/>
      <c r="N79" s="26"/>
      <c r="O79" s="26"/>
      <c r="P79" s="26"/>
      <c r="Q79" s="26"/>
    </row>
    <row r="80" spans="1:17">
      <c r="A80" s="26"/>
      <c r="B80" s="26"/>
      <c r="C80" s="26"/>
      <c r="D80" s="26"/>
      <c r="E80" s="26"/>
      <c r="F80" s="26"/>
      <c r="G80" s="26"/>
      <c r="H80" s="26"/>
      <c r="I80" s="26"/>
      <c r="J80" s="26"/>
      <c r="K80" s="26"/>
      <c r="L80" s="26"/>
      <c r="M80" s="26"/>
      <c r="N80" s="26"/>
      <c r="O80" s="26"/>
      <c r="P80" s="26"/>
      <c r="Q80" s="26"/>
    </row>
  </sheetData>
  <mergeCells count="6">
    <mergeCell ref="A41:E41"/>
    <mergeCell ref="A52:D52"/>
    <mergeCell ref="B56:C56"/>
    <mergeCell ref="A2:A3"/>
    <mergeCell ref="A21:A22"/>
    <mergeCell ref="A31:A32"/>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44"/>
  <sheetViews>
    <sheetView showGridLines="0" zoomScale="70" zoomScaleNormal="70" topLeftCell="A536" workbookViewId="0">
      <selection activeCell="F492" sqref="F492"/>
    </sheetView>
  </sheetViews>
  <sheetFormatPr defaultColWidth="9" defaultRowHeight="24" customHeight="1" outlineLevelCol="7"/>
  <cols>
    <col min="1" max="1" width="32.1363636363636" style="130" customWidth="1"/>
    <col min="2" max="2" width="19.2818181818182" style="130" customWidth="1"/>
    <col min="3" max="4" width="22.2818181818182" style="130" customWidth="1"/>
    <col min="5" max="5" width="18.5727272727273" style="130" customWidth="1"/>
    <col min="6" max="6" width="17.7090909090909" style="130" customWidth="1"/>
    <col min="7" max="7" width="15.8545454545455" style="130" customWidth="1"/>
    <col min="8" max="8" width="12.1363636363636" style="130" customWidth="1"/>
    <col min="9" max="16384" width="9.13636363636364" style="130"/>
  </cols>
  <sheetData>
    <row r="1" ht="74.25" customHeight="1" spans="1:8">
      <c r="A1" s="131" t="s">
        <v>115</v>
      </c>
      <c r="B1" s="131"/>
      <c r="C1" s="131"/>
      <c r="D1" s="131"/>
      <c r="E1" s="131"/>
      <c r="F1" s="131"/>
      <c r="G1" s="131"/>
      <c r="H1" s="131"/>
    </row>
    <row r="3" customHeight="1" spans="1:8">
      <c r="A3" s="132" t="s">
        <v>116</v>
      </c>
      <c r="B3" s="132"/>
      <c r="C3" s="132"/>
      <c r="D3" s="132"/>
      <c r="E3" s="132"/>
      <c r="F3" s="132"/>
      <c r="G3" s="132"/>
      <c r="H3" s="132"/>
    </row>
    <row r="5" customHeight="1" spans="1:8">
      <c r="A5" s="63" t="s">
        <v>117</v>
      </c>
      <c r="B5" s="63"/>
      <c r="C5" s="63"/>
      <c r="D5" s="63"/>
      <c r="E5" s="63"/>
      <c r="F5" s="63"/>
      <c r="G5" s="63"/>
      <c r="H5" s="63"/>
    </row>
    <row r="6" customHeight="1" spans="1:8">
      <c r="A6" s="63" t="s">
        <v>118</v>
      </c>
      <c r="B6" s="63"/>
      <c r="C6" s="63"/>
      <c r="D6" s="63"/>
      <c r="E6" s="63"/>
      <c r="F6" s="63"/>
      <c r="G6" s="63"/>
      <c r="H6" s="63"/>
    </row>
    <row r="7" ht="177" customHeight="1" spans="1:8">
      <c r="A7" s="133" t="s">
        <v>119</v>
      </c>
      <c r="B7" s="133"/>
      <c r="C7" s="133"/>
      <c r="D7" s="133"/>
      <c r="E7" s="133"/>
      <c r="F7" s="133"/>
      <c r="G7" s="133"/>
      <c r="H7" s="133"/>
    </row>
    <row r="8" customHeight="1" spans="1:8">
      <c r="A8" s="134"/>
      <c r="B8" s="134"/>
      <c r="C8" s="134"/>
      <c r="D8" s="134"/>
      <c r="E8" s="134"/>
      <c r="F8" s="134"/>
      <c r="G8" s="135"/>
      <c r="H8" s="135"/>
    </row>
    <row r="9" customHeight="1" spans="1:8">
      <c r="A9" s="136" t="s">
        <v>120</v>
      </c>
      <c r="B9" s="136"/>
      <c r="C9" s="136"/>
      <c r="D9" s="136"/>
      <c r="E9" s="136"/>
      <c r="F9" s="136"/>
      <c r="G9" s="136"/>
      <c r="H9" s="136"/>
    </row>
    <row r="10" ht="40.5" customHeight="1" spans="1:8">
      <c r="A10" s="133" t="s">
        <v>121</v>
      </c>
      <c r="B10" s="133"/>
      <c r="C10" s="133"/>
      <c r="D10" s="133"/>
      <c r="E10" s="133"/>
      <c r="F10" s="133"/>
      <c r="G10" s="133"/>
      <c r="H10" s="133"/>
    </row>
    <row r="11" customHeight="1" spans="1:8">
      <c r="A11" s="134"/>
      <c r="B11" s="134"/>
      <c r="C11" s="134"/>
      <c r="D11" s="134"/>
      <c r="E11" s="134"/>
      <c r="F11" s="134"/>
      <c r="G11" s="135"/>
      <c r="H11" s="135"/>
    </row>
    <row r="12" customHeight="1" spans="1:8">
      <c r="A12" s="137" t="s">
        <v>122</v>
      </c>
      <c r="B12" s="138"/>
      <c r="C12" s="138"/>
      <c r="D12" s="138"/>
      <c r="E12" s="138"/>
      <c r="F12" s="138"/>
      <c r="G12" s="138"/>
      <c r="H12" s="138"/>
    </row>
    <row r="13" ht="33.75" customHeight="1" spans="1:8">
      <c r="A13" s="133" t="s">
        <v>123</v>
      </c>
      <c r="B13" s="133"/>
      <c r="C13" s="133"/>
      <c r="D13" s="133"/>
      <c r="E13" s="133"/>
      <c r="F13" s="133"/>
      <c r="G13" s="133"/>
      <c r="H13" s="133"/>
    </row>
    <row r="15" customHeight="1" spans="1:2">
      <c r="A15" s="139" t="s">
        <v>122</v>
      </c>
      <c r="B15" s="140"/>
    </row>
    <row r="16" ht="24.75" customHeight="1" spans="1:2">
      <c r="A16" s="141" t="s">
        <v>124</v>
      </c>
      <c r="B16" s="142">
        <v>1536.43</v>
      </c>
    </row>
    <row r="17" hidden="1" customHeight="1" spans="1:2">
      <c r="A17" s="143" t="s">
        <v>125</v>
      </c>
      <c r="B17" s="144"/>
    </row>
    <row r="19" customHeight="1" spans="1:8">
      <c r="A19" s="137" t="s">
        <v>126</v>
      </c>
      <c r="B19" s="138"/>
      <c r="C19" s="138"/>
      <c r="D19" s="138"/>
      <c r="E19" s="138"/>
      <c r="F19" s="138"/>
      <c r="G19" s="138"/>
      <c r="H19" s="138"/>
    </row>
    <row r="20" ht="85.5" customHeight="1" spans="1:8">
      <c r="A20" s="133" t="s">
        <v>127</v>
      </c>
      <c r="B20" s="133"/>
      <c r="C20" s="133"/>
      <c r="D20" s="133"/>
      <c r="E20" s="133"/>
      <c r="F20" s="133"/>
      <c r="G20" s="133"/>
      <c r="H20" s="133"/>
    </row>
    <row r="21" customHeight="1" spans="1:6">
      <c r="A21" s="134"/>
      <c r="B21" s="134"/>
      <c r="C21" s="134"/>
      <c r="D21" s="134"/>
      <c r="E21" s="134"/>
      <c r="F21" s="134"/>
    </row>
    <row r="22" customHeight="1" spans="1:4">
      <c r="A22" s="145" t="s">
        <v>126</v>
      </c>
      <c r="B22" s="146"/>
      <c r="C22" s="146"/>
      <c r="D22" s="147"/>
    </row>
    <row r="23" customHeight="1" spans="1:4">
      <c r="A23" s="148" t="s">
        <v>4</v>
      </c>
      <c r="B23" s="149" t="s">
        <v>128</v>
      </c>
      <c r="C23" s="149" t="s">
        <v>129</v>
      </c>
      <c r="D23" s="150" t="s">
        <v>130</v>
      </c>
    </row>
    <row r="24" customHeight="1" spans="1:8">
      <c r="A24" s="151" t="str">
        <f>A16</f>
        <v>Servente (44h semanais)</v>
      </c>
      <c r="B24" s="152">
        <f>B16</f>
        <v>1536.43</v>
      </c>
      <c r="C24" s="153"/>
      <c r="D24" s="154">
        <f>B24*C24</f>
        <v>0</v>
      </c>
      <c r="E24" s="135"/>
      <c r="G24" s="135"/>
      <c r="H24" s="135"/>
    </row>
    <row r="25" hidden="1" customHeight="1" spans="1:8">
      <c r="A25" s="143" t="s">
        <v>125</v>
      </c>
      <c r="B25" s="155">
        <f>B17</f>
        <v>0</v>
      </c>
      <c r="C25" s="156"/>
      <c r="D25" s="157">
        <f>B25*C25</f>
        <v>0</v>
      </c>
      <c r="E25" s="135"/>
      <c r="G25" s="135"/>
      <c r="H25" s="135"/>
    </row>
    <row r="27" customHeight="1" spans="1:8">
      <c r="A27" s="137" t="s">
        <v>131</v>
      </c>
      <c r="B27" s="138"/>
      <c r="C27" s="138"/>
      <c r="D27" s="138"/>
      <c r="E27" s="138"/>
      <c r="F27" s="138"/>
      <c r="G27" s="138"/>
      <c r="H27" s="138"/>
    </row>
    <row r="28" ht="72" customHeight="1" spans="1:8">
      <c r="A28" s="133" t="s">
        <v>132</v>
      </c>
      <c r="B28" s="133"/>
      <c r="C28" s="133"/>
      <c r="D28" s="133"/>
      <c r="E28" s="133"/>
      <c r="F28" s="133"/>
      <c r="G28" s="133"/>
      <c r="H28" s="133"/>
    </row>
    <row r="29" customHeight="1" spans="1:6">
      <c r="A29" s="135"/>
      <c r="B29" s="135"/>
      <c r="C29" s="135"/>
      <c r="D29" s="135"/>
      <c r="F29" s="135"/>
    </row>
    <row r="30" customHeight="1" spans="1:4">
      <c r="A30" s="139" t="s">
        <v>133</v>
      </c>
      <c r="B30" s="158"/>
      <c r="C30" s="158"/>
      <c r="D30" s="140"/>
    </row>
    <row r="31" customHeight="1" spans="1:4">
      <c r="A31" s="148" t="s">
        <v>4</v>
      </c>
      <c r="B31" s="149" t="s">
        <v>128</v>
      </c>
      <c r="C31" s="149" t="s">
        <v>129</v>
      </c>
      <c r="D31" s="150" t="s">
        <v>134</v>
      </c>
    </row>
    <row r="32" hidden="1" customHeight="1" spans="1:4">
      <c r="A32" s="151" t="s">
        <v>135</v>
      </c>
      <c r="B32" s="152"/>
      <c r="C32" s="159"/>
      <c r="D32" s="160">
        <f t="shared" ref="D32:D37" si="0">B32*C32</f>
        <v>0</v>
      </c>
    </row>
    <row r="33" hidden="1" customHeight="1" spans="1:4">
      <c r="A33" s="161" t="s">
        <v>136</v>
      </c>
      <c r="B33" s="162"/>
      <c r="C33" s="163">
        <f>C32</f>
        <v>0</v>
      </c>
      <c r="D33" s="164">
        <f t="shared" si="0"/>
        <v>0</v>
      </c>
    </row>
    <row r="34" customHeight="1" spans="1:4">
      <c r="A34" s="165" t="str">
        <f>A16</f>
        <v>Servente (44h semanais)</v>
      </c>
      <c r="B34" s="166"/>
      <c r="C34" s="167">
        <f>C33</f>
        <v>0</v>
      </c>
      <c r="D34" s="168">
        <f t="shared" si="0"/>
        <v>0</v>
      </c>
    </row>
    <row r="35" hidden="1" customHeight="1" spans="1:4">
      <c r="A35" s="141" t="s">
        <v>137</v>
      </c>
      <c r="B35" s="169"/>
      <c r="C35" s="170">
        <f>C34</f>
        <v>0</v>
      </c>
      <c r="D35" s="142">
        <f t="shared" si="0"/>
        <v>0</v>
      </c>
    </row>
    <row r="36" hidden="1" customHeight="1" spans="1:4">
      <c r="A36" s="171" t="s">
        <v>138</v>
      </c>
      <c r="B36" s="172"/>
      <c r="C36" s="173">
        <f>C35</f>
        <v>0</v>
      </c>
      <c r="D36" s="174">
        <f t="shared" si="0"/>
        <v>0</v>
      </c>
    </row>
    <row r="37" hidden="1" customHeight="1" spans="1:8">
      <c r="A37" s="143" t="s">
        <v>139</v>
      </c>
      <c r="B37" s="155"/>
      <c r="C37" s="175">
        <f>C36</f>
        <v>0</v>
      </c>
      <c r="D37" s="144">
        <f t="shared" si="0"/>
        <v>0</v>
      </c>
      <c r="G37" s="135"/>
      <c r="H37" s="135"/>
    </row>
    <row r="40" customHeight="1" spans="1:8">
      <c r="A40" s="137" t="s">
        <v>140</v>
      </c>
      <c r="B40" s="138"/>
      <c r="C40" s="138"/>
      <c r="D40" s="138"/>
      <c r="E40" s="138"/>
      <c r="F40" s="138"/>
      <c r="G40" s="138"/>
      <c r="H40" s="138"/>
    </row>
    <row r="41" ht="69.75" customHeight="1" spans="1:8">
      <c r="A41" s="133" t="s">
        <v>141</v>
      </c>
      <c r="B41" s="133"/>
      <c r="C41" s="133"/>
      <c r="D41" s="133"/>
      <c r="E41" s="133"/>
      <c r="F41" s="133"/>
      <c r="G41" s="133"/>
      <c r="H41" s="133"/>
    </row>
    <row r="43" customHeight="1" spans="1:5">
      <c r="A43" s="145" t="s">
        <v>140</v>
      </c>
      <c r="B43" s="146"/>
      <c r="C43" s="146"/>
      <c r="D43" s="146"/>
      <c r="E43" s="147"/>
    </row>
    <row r="44" customHeight="1" spans="1:5">
      <c r="A44" s="148" t="s">
        <v>4</v>
      </c>
      <c r="B44" s="149" t="s">
        <v>142</v>
      </c>
      <c r="C44" s="149" t="s">
        <v>143</v>
      </c>
      <c r="D44" s="149" t="s">
        <v>129</v>
      </c>
      <c r="E44" s="150" t="s">
        <v>134</v>
      </c>
    </row>
    <row r="45" customHeight="1" spans="1:5">
      <c r="A45" s="151" t="s">
        <v>136</v>
      </c>
      <c r="B45" s="152">
        <f>B16+D33</f>
        <v>1536.43</v>
      </c>
      <c r="C45" s="176">
        <f>7/12</f>
        <v>0.583333333333333</v>
      </c>
      <c r="D45" s="159"/>
      <c r="E45" s="160">
        <f>B45*C45*D45</f>
        <v>0</v>
      </c>
    </row>
    <row r="46" hidden="1" customHeight="1" spans="1:5">
      <c r="A46" s="143" t="s">
        <v>138</v>
      </c>
      <c r="B46" s="155">
        <f>B17+D36</f>
        <v>0</v>
      </c>
      <c r="C46" s="177">
        <f>7/12</f>
        <v>0.583333333333333</v>
      </c>
      <c r="D46" s="175">
        <f>D45</f>
        <v>0</v>
      </c>
      <c r="E46" s="144">
        <f>B46*C46*D46</f>
        <v>0</v>
      </c>
    </row>
    <row r="47" customHeight="1" spans="1:5">
      <c r="A47" s="145" t="s">
        <v>144</v>
      </c>
      <c r="B47" s="146"/>
      <c r="C47" s="146"/>
      <c r="D47" s="146"/>
      <c r="E47" s="147"/>
    </row>
    <row r="48" customHeight="1" spans="1:5">
      <c r="A48" s="148" t="s">
        <v>4</v>
      </c>
      <c r="B48" s="149" t="s">
        <v>142</v>
      </c>
      <c r="C48" s="149" t="s">
        <v>143</v>
      </c>
      <c r="D48" s="149" t="s">
        <v>129</v>
      </c>
      <c r="E48" s="150" t="s">
        <v>134</v>
      </c>
    </row>
    <row r="49" customHeight="1" spans="1:5">
      <c r="A49" s="151" t="s">
        <v>136</v>
      </c>
      <c r="B49" s="152">
        <f>B16+D33</f>
        <v>1536.43</v>
      </c>
      <c r="C49" s="176">
        <f>1/12</f>
        <v>0.0833333333333333</v>
      </c>
      <c r="D49" s="159">
        <v>0</v>
      </c>
      <c r="E49" s="160">
        <f>B49*C49*D49</f>
        <v>0</v>
      </c>
    </row>
    <row r="50" hidden="1" customHeight="1" spans="1:5">
      <c r="A50" s="143" t="s">
        <v>138</v>
      </c>
      <c r="B50" s="155">
        <f>B17+D36</f>
        <v>0</v>
      </c>
      <c r="C50" s="177">
        <f>1/12</f>
        <v>0.0833333333333333</v>
      </c>
      <c r="D50" s="175">
        <f>1+D46</f>
        <v>1</v>
      </c>
      <c r="E50" s="144">
        <f>B50*C50*D50</f>
        <v>0</v>
      </c>
    </row>
    <row r="51" ht="33.75" customHeight="1"/>
    <row r="52" customHeight="1" spans="1:4">
      <c r="A52" s="139" t="s">
        <v>145</v>
      </c>
      <c r="B52" s="158"/>
      <c r="C52" s="158"/>
      <c r="D52" s="140"/>
    </row>
    <row r="53" ht="30.75" customHeight="1" spans="1:4">
      <c r="A53" s="148" t="s">
        <v>4</v>
      </c>
      <c r="B53" s="149" t="s">
        <v>146</v>
      </c>
      <c r="C53" s="178" t="s">
        <v>147</v>
      </c>
      <c r="D53" s="150" t="s">
        <v>134</v>
      </c>
    </row>
    <row r="54" customHeight="1" spans="1:4">
      <c r="A54" s="151" t="s">
        <v>136</v>
      </c>
      <c r="B54" s="152">
        <f>E45</f>
        <v>0</v>
      </c>
      <c r="C54" s="152">
        <f>E49</f>
        <v>0</v>
      </c>
      <c r="D54" s="160">
        <f>SUM(B54:C54)</f>
        <v>0</v>
      </c>
    </row>
    <row r="55" hidden="1" customHeight="1" spans="1:8">
      <c r="A55" s="143" t="s">
        <v>138</v>
      </c>
      <c r="B55" s="155">
        <f>E46</f>
        <v>0</v>
      </c>
      <c r="C55" s="155">
        <f>E50</f>
        <v>0</v>
      </c>
      <c r="D55" s="144">
        <f>SUM(B55:C55)</f>
        <v>0</v>
      </c>
      <c r="G55" s="135"/>
      <c r="H55" s="135"/>
    </row>
    <row r="57" hidden="1" customHeight="1" spans="1:6">
      <c r="A57" s="135" t="s">
        <v>148</v>
      </c>
      <c r="B57" s="135"/>
      <c r="C57" s="135"/>
      <c r="D57" s="135"/>
      <c r="E57" s="135"/>
      <c r="F57" s="135"/>
    </row>
    <row r="58" ht="48" hidden="1" customHeight="1" spans="1:6">
      <c r="A58" s="133" t="s">
        <v>149</v>
      </c>
      <c r="B58" s="133"/>
      <c r="C58" s="133"/>
      <c r="D58" s="133"/>
      <c r="E58" s="133"/>
      <c r="F58" s="133"/>
    </row>
    <row r="59" hidden="1" customHeight="1"/>
    <row r="60" hidden="1" customHeight="1" spans="1:4">
      <c r="A60" s="139" t="s">
        <v>148</v>
      </c>
      <c r="B60" s="158"/>
      <c r="C60" s="158"/>
      <c r="D60" s="140"/>
    </row>
    <row r="61" hidden="1" customHeight="1" spans="1:4">
      <c r="A61" s="148" t="s">
        <v>4</v>
      </c>
      <c r="B61" s="149" t="s">
        <v>128</v>
      </c>
      <c r="C61" s="149" t="s">
        <v>129</v>
      </c>
      <c r="D61" s="150" t="s">
        <v>134</v>
      </c>
    </row>
    <row r="62" hidden="1" customHeight="1" spans="1:4">
      <c r="A62" s="151" t="s">
        <v>135</v>
      </c>
      <c r="B62" s="179"/>
      <c r="C62" s="179"/>
      <c r="D62" s="180"/>
    </row>
    <row r="63" hidden="1" customHeight="1" spans="1:4">
      <c r="A63" s="171" t="s">
        <v>136</v>
      </c>
      <c r="B63" s="181"/>
      <c r="C63" s="181"/>
      <c r="D63" s="182"/>
    </row>
    <row r="64" hidden="1" customHeight="1" spans="1:4">
      <c r="A64" s="143" t="s">
        <v>150</v>
      </c>
      <c r="B64" s="183"/>
      <c r="C64" s="183"/>
      <c r="D64" s="184"/>
    </row>
    <row r="65" hidden="1" customHeight="1" spans="1:4">
      <c r="A65" s="151" t="s">
        <v>137</v>
      </c>
      <c r="B65" s="179"/>
      <c r="C65" s="179"/>
      <c r="D65" s="180"/>
    </row>
    <row r="66" hidden="1" customHeight="1" spans="1:4">
      <c r="A66" s="171" t="s">
        <v>138</v>
      </c>
      <c r="B66" s="181"/>
      <c r="C66" s="181"/>
      <c r="D66" s="182"/>
    </row>
    <row r="67" hidden="1" customHeight="1" spans="1:8">
      <c r="A67" s="143" t="s">
        <v>139</v>
      </c>
      <c r="B67" s="183"/>
      <c r="C67" s="183"/>
      <c r="D67" s="184"/>
      <c r="H67" s="135"/>
    </row>
    <row r="69" customHeight="1" spans="1:8">
      <c r="A69" s="136" t="s">
        <v>120</v>
      </c>
      <c r="B69" s="136"/>
      <c r="C69" s="136"/>
      <c r="D69" s="136"/>
      <c r="E69" s="136"/>
      <c r="F69" s="136"/>
      <c r="G69" s="136"/>
      <c r="H69" s="136"/>
    </row>
    <row r="70" ht="42" customHeight="1" spans="1:8">
      <c r="A70" s="185" t="s">
        <v>151</v>
      </c>
      <c r="B70" s="185"/>
      <c r="C70" s="185"/>
      <c r="D70" s="185"/>
      <c r="E70" s="185"/>
      <c r="F70" s="185"/>
      <c r="G70" s="185"/>
      <c r="H70" s="185"/>
    </row>
    <row r="71" ht="30.75" customHeight="1"/>
    <row r="72" customHeight="1" spans="1:6">
      <c r="A72" s="186" t="s">
        <v>120</v>
      </c>
      <c r="B72" s="187"/>
      <c r="C72" s="187"/>
      <c r="D72" s="187"/>
      <c r="E72" s="187"/>
      <c r="F72" s="188"/>
    </row>
    <row r="73" ht="45.75" spans="1:6">
      <c r="A73" s="189" t="s">
        <v>4</v>
      </c>
      <c r="B73" s="190" t="s">
        <v>152</v>
      </c>
      <c r="C73" s="191" t="s">
        <v>153</v>
      </c>
      <c r="D73" s="191" t="s">
        <v>154</v>
      </c>
      <c r="E73" s="190" t="s">
        <v>146</v>
      </c>
      <c r="F73" s="192" t="s">
        <v>155</v>
      </c>
    </row>
    <row r="74" hidden="1" customHeight="1" spans="1:6">
      <c r="A74" s="151" t="s">
        <v>135</v>
      </c>
      <c r="B74" s="152">
        <f>B16</f>
        <v>1536.43</v>
      </c>
      <c r="C74" s="152">
        <f>D24</f>
        <v>0</v>
      </c>
      <c r="D74" s="152">
        <f t="shared" ref="D74:D79" si="1">D32</f>
        <v>0</v>
      </c>
      <c r="E74" s="179"/>
      <c r="F74" s="160">
        <f ca="1">SUM(B74:F74)</f>
        <v>0</v>
      </c>
    </row>
    <row r="75" hidden="1" customHeight="1" spans="1:6">
      <c r="A75" s="161" t="s">
        <v>136</v>
      </c>
      <c r="B75" s="162">
        <f>B16</f>
        <v>1536.43</v>
      </c>
      <c r="C75" s="162">
        <f>D24</f>
        <v>0</v>
      </c>
      <c r="D75" s="162">
        <f t="shared" si="1"/>
        <v>0</v>
      </c>
      <c r="E75" s="162">
        <f>D54</f>
        <v>0</v>
      </c>
      <c r="F75" s="164">
        <f ca="1">SUM(B75:F75)</f>
        <v>0</v>
      </c>
    </row>
    <row r="76" customHeight="1" spans="1:6">
      <c r="A76" s="165" t="str">
        <f>A16</f>
        <v>Servente (44h semanais)</v>
      </c>
      <c r="B76" s="166">
        <f>B16</f>
        <v>1536.43</v>
      </c>
      <c r="C76" s="166">
        <f>D24</f>
        <v>0</v>
      </c>
      <c r="D76" s="166">
        <f t="shared" si="1"/>
        <v>0</v>
      </c>
      <c r="E76" s="166">
        <f>D54</f>
        <v>0</v>
      </c>
      <c r="F76" s="168">
        <f>SUM(B76:E76)</f>
        <v>1536.43</v>
      </c>
    </row>
    <row r="77" hidden="1" customHeight="1" spans="1:7">
      <c r="A77" s="141" t="s">
        <v>137</v>
      </c>
      <c r="B77" s="169">
        <f>B17</f>
        <v>0</v>
      </c>
      <c r="C77" s="169">
        <f>D25</f>
        <v>0</v>
      </c>
      <c r="D77" s="169">
        <f t="shared" si="1"/>
        <v>0</v>
      </c>
      <c r="E77" s="193"/>
      <c r="F77" s="194">
        <f t="shared" ref="F77:F79" si="2">D65</f>
        <v>0</v>
      </c>
      <c r="G77" s="142">
        <f t="shared" ref="G77:G79" si="3">SUM(B77:F77)</f>
        <v>0</v>
      </c>
    </row>
    <row r="78" hidden="1" customHeight="1" spans="1:7">
      <c r="A78" s="171" t="s">
        <v>138</v>
      </c>
      <c r="B78" s="172">
        <f>B17</f>
        <v>0</v>
      </c>
      <c r="C78" s="172">
        <f>D25</f>
        <v>0</v>
      </c>
      <c r="D78" s="172">
        <f t="shared" si="1"/>
        <v>0</v>
      </c>
      <c r="E78" s="172">
        <f>D55</f>
        <v>0</v>
      </c>
      <c r="F78" s="195">
        <f t="shared" si="2"/>
        <v>0</v>
      </c>
      <c r="G78" s="174">
        <f t="shared" si="3"/>
        <v>0</v>
      </c>
    </row>
    <row r="79" hidden="1" customHeight="1" spans="1:8">
      <c r="A79" s="143" t="s">
        <v>139</v>
      </c>
      <c r="B79" s="155">
        <f>B17</f>
        <v>0</v>
      </c>
      <c r="C79" s="155">
        <f>D25</f>
        <v>0</v>
      </c>
      <c r="D79" s="155">
        <f t="shared" si="1"/>
        <v>0</v>
      </c>
      <c r="E79" s="183"/>
      <c r="F79" s="196">
        <f t="shared" si="2"/>
        <v>0</v>
      </c>
      <c r="G79" s="144">
        <f t="shared" si="3"/>
        <v>0</v>
      </c>
      <c r="H79" s="135"/>
    </row>
    <row r="81" customHeight="1" spans="1:8">
      <c r="A81" s="136" t="s">
        <v>156</v>
      </c>
      <c r="B81" s="136"/>
      <c r="C81" s="136"/>
      <c r="D81" s="136"/>
      <c r="E81" s="136"/>
      <c r="F81" s="136"/>
      <c r="G81" s="136"/>
      <c r="H81" s="136"/>
    </row>
    <row r="83" customHeight="1" spans="1:8">
      <c r="A83" s="137" t="s">
        <v>157</v>
      </c>
      <c r="B83" s="138"/>
      <c r="C83" s="138"/>
      <c r="D83" s="138"/>
      <c r="E83" s="138"/>
      <c r="F83" s="138"/>
      <c r="G83" s="138"/>
      <c r="H83" s="138"/>
    </row>
    <row r="84" ht="15.25"/>
    <row r="85" ht="31.5" customHeight="1" spans="1:5">
      <c r="A85" s="197" t="s">
        <v>158</v>
      </c>
      <c r="B85" s="158"/>
      <c r="C85" s="158"/>
      <c r="D85" s="140"/>
      <c r="E85" s="198"/>
    </row>
    <row r="86" ht="30" spans="1:4">
      <c r="A86" s="199" t="s">
        <v>4</v>
      </c>
      <c r="B86" s="200" t="s">
        <v>128</v>
      </c>
      <c r="C86" s="201" t="s">
        <v>159</v>
      </c>
      <c r="D86" s="202" t="s">
        <v>134</v>
      </c>
    </row>
    <row r="87" hidden="1" customHeight="1" spans="1:4">
      <c r="A87" s="151" t="s">
        <v>135</v>
      </c>
      <c r="B87" s="152">
        <f ca="1">F74</f>
        <v>0</v>
      </c>
      <c r="C87" s="203">
        <f>1/12</f>
        <v>0.0833333333333333</v>
      </c>
      <c r="D87" s="160">
        <f ca="1">B87*C87</f>
        <v>0</v>
      </c>
    </row>
    <row r="88" hidden="1" customHeight="1" spans="1:4">
      <c r="A88" s="161" t="s">
        <v>136</v>
      </c>
      <c r="B88" s="162">
        <f ca="1">F75</f>
        <v>0</v>
      </c>
      <c r="C88" s="204">
        <f t="shared" ref="C88:C92" si="4">1/12</f>
        <v>0.0833333333333333</v>
      </c>
      <c r="D88" s="164">
        <f ca="1" t="shared" ref="D88:D92" si="5">B88*C88</f>
        <v>0</v>
      </c>
    </row>
    <row r="89" customHeight="1" spans="1:4">
      <c r="A89" s="165" t="str">
        <f>A16</f>
        <v>Servente (44h semanais)</v>
      </c>
      <c r="B89" s="166">
        <f>F76</f>
        <v>1536.43</v>
      </c>
      <c r="C89" s="205">
        <f t="shared" si="4"/>
        <v>0.0833333333333333</v>
      </c>
      <c r="D89" s="168">
        <f t="shared" si="5"/>
        <v>128.035833333333</v>
      </c>
    </row>
    <row r="90" hidden="1" customHeight="1" spans="1:4">
      <c r="A90" s="141" t="s">
        <v>137</v>
      </c>
      <c r="B90" s="169">
        <f t="shared" ref="B90:B92" si="6">G77</f>
        <v>0</v>
      </c>
      <c r="C90" s="206">
        <f t="shared" si="4"/>
        <v>0.0833333333333333</v>
      </c>
      <c r="D90" s="142">
        <f t="shared" si="5"/>
        <v>0</v>
      </c>
    </row>
    <row r="91" hidden="1" customHeight="1" spans="1:4">
      <c r="A91" s="171" t="s">
        <v>138</v>
      </c>
      <c r="B91" s="172">
        <f t="shared" si="6"/>
        <v>0</v>
      </c>
      <c r="C91" s="207">
        <f t="shared" si="4"/>
        <v>0.0833333333333333</v>
      </c>
      <c r="D91" s="174">
        <f t="shared" si="5"/>
        <v>0</v>
      </c>
    </row>
    <row r="92" hidden="1" customHeight="1" spans="1:4">
      <c r="A92" s="143" t="s">
        <v>139</v>
      </c>
      <c r="B92" s="155">
        <f t="shared" si="6"/>
        <v>0</v>
      </c>
      <c r="C92" s="208">
        <f t="shared" si="4"/>
        <v>0.0833333333333333</v>
      </c>
      <c r="D92" s="144">
        <f t="shared" si="5"/>
        <v>0</v>
      </c>
    </row>
    <row r="93" ht="15.25"/>
    <row r="94" ht="36.75" customHeight="1" spans="1:4">
      <c r="A94" s="197" t="s">
        <v>160</v>
      </c>
      <c r="B94" s="158"/>
      <c r="C94" s="158"/>
      <c r="D94" s="140"/>
    </row>
    <row r="95" ht="30.75" customHeight="1" spans="1:4">
      <c r="A95" s="199" t="s">
        <v>4</v>
      </c>
      <c r="B95" s="200" t="s">
        <v>128</v>
      </c>
      <c r="C95" s="201" t="s">
        <v>159</v>
      </c>
      <c r="D95" s="202" t="s">
        <v>134</v>
      </c>
    </row>
    <row r="96" hidden="1" customHeight="1" spans="1:4">
      <c r="A96" s="151" t="s">
        <v>135</v>
      </c>
      <c r="B96" s="152">
        <f ca="1">F74</f>
        <v>0</v>
      </c>
      <c r="C96" s="203">
        <f>1/12</f>
        <v>0.0833333333333333</v>
      </c>
      <c r="D96" s="160">
        <f ca="1">B96*C96</f>
        <v>0</v>
      </c>
    </row>
    <row r="97" hidden="1" customHeight="1" spans="1:4">
      <c r="A97" s="161" t="s">
        <v>136</v>
      </c>
      <c r="B97" s="162">
        <f ca="1">F75</f>
        <v>0</v>
      </c>
      <c r="C97" s="204">
        <f t="shared" ref="C97:C101" si="7">1/12</f>
        <v>0.0833333333333333</v>
      </c>
      <c r="D97" s="164">
        <f ca="1" t="shared" ref="D97:D101" si="8">B97*C97</f>
        <v>0</v>
      </c>
    </row>
    <row r="98" customHeight="1" spans="1:4">
      <c r="A98" s="165" t="str">
        <f>A16</f>
        <v>Servente (44h semanais)</v>
      </c>
      <c r="B98" s="166">
        <f>F76</f>
        <v>1536.43</v>
      </c>
      <c r="C98" s="205">
        <f t="shared" si="7"/>
        <v>0.0833333333333333</v>
      </c>
      <c r="D98" s="168">
        <f t="shared" si="8"/>
        <v>128.035833333333</v>
      </c>
    </row>
    <row r="99" hidden="1" customHeight="1" spans="1:4">
      <c r="A99" s="141" t="s">
        <v>137</v>
      </c>
      <c r="B99" s="169">
        <f t="shared" ref="B99:B101" si="9">G77</f>
        <v>0</v>
      </c>
      <c r="C99" s="206">
        <f t="shared" si="7"/>
        <v>0.0833333333333333</v>
      </c>
      <c r="D99" s="142">
        <f t="shared" si="8"/>
        <v>0</v>
      </c>
    </row>
    <row r="100" hidden="1" customHeight="1" spans="1:4">
      <c r="A100" s="171" t="s">
        <v>138</v>
      </c>
      <c r="B100" s="172">
        <f t="shared" si="9"/>
        <v>0</v>
      </c>
      <c r="C100" s="207">
        <f t="shared" si="7"/>
        <v>0.0833333333333333</v>
      </c>
      <c r="D100" s="174">
        <f t="shared" si="8"/>
        <v>0</v>
      </c>
    </row>
    <row r="101" hidden="1" customHeight="1" spans="1:4">
      <c r="A101" s="143" t="s">
        <v>139</v>
      </c>
      <c r="B101" s="155">
        <f t="shared" si="9"/>
        <v>0</v>
      </c>
      <c r="C101" s="208">
        <f t="shared" si="7"/>
        <v>0.0833333333333333</v>
      </c>
      <c r="D101" s="144">
        <f t="shared" si="8"/>
        <v>0</v>
      </c>
    </row>
    <row r="102" ht="38.25" customHeight="1"/>
    <row r="103" customHeight="1" spans="1:5">
      <c r="A103" s="209" t="s">
        <v>161</v>
      </c>
      <c r="B103" s="210"/>
      <c r="C103" s="210"/>
      <c r="D103" s="210"/>
      <c r="E103" s="211"/>
    </row>
    <row r="104" ht="30" customHeight="1" spans="1:5">
      <c r="A104" s="199" t="s">
        <v>4</v>
      </c>
      <c r="B104" s="200" t="s">
        <v>128</v>
      </c>
      <c r="C104" s="201" t="s">
        <v>162</v>
      </c>
      <c r="D104" s="201" t="s">
        <v>159</v>
      </c>
      <c r="E104" s="202" t="s">
        <v>134</v>
      </c>
    </row>
    <row r="105" hidden="1" customHeight="1" spans="1:5">
      <c r="A105" s="151" t="s">
        <v>135</v>
      </c>
      <c r="B105" s="152">
        <f ca="1">F74</f>
        <v>0</v>
      </c>
      <c r="C105" s="176">
        <f>1/3</f>
        <v>0.333333333333333</v>
      </c>
      <c r="D105" s="203">
        <f>1/12</f>
        <v>0.0833333333333333</v>
      </c>
      <c r="E105" s="160">
        <f ca="1" t="shared" ref="E105:E110" si="10">B105*C105*D105</f>
        <v>0</v>
      </c>
    </row>
    <row r="106" hidden="1" customHeight="1" spans="1:5">
      <c r="A106" s="161" t="s">
        <v>136</v>
      </c>
      <c r="B106" s="162">
        <f ca="1">F75</f>
        <v>0</v>
      </c>
      <c r="C106" s="212">
        <f t="shared" ref="C106:C110" si="11">1/3</f>
        <v>0.333333333333333</v>
      </c>
      <c r="D106" s="204">
        <f t="shared" ref="D106:D110" si="12">1/12</f>
        <v>0.0833333333333333</v>
      </c>
      <c r="E106" s="164">
        <f ca="1" t="shared" si="10"/>
        <v>0</v>
      </c>
    </row>
    <row r="107" customHeight="1" spans="1:5">
      <c r="A107" s="165" t="str">
        <f>A16</f>
        <v>Servente (44h semanais)</v>
      </c>
      <c r="B107" s="166">
        <f>F76</f>
        <v>1536.43</v>
      </c>
      <c r="C107" s="213">
        <f t="shared" si="11"/>
        <v>0.333333333333333</v>
      </c>
      <c r="D107" s="205">
        <f t="shared" si="12"/>
        <v>0.0833333333333333</v>
      </c>
      <c r="E107" s="168">
        <f t="shared" si="10"/>
        <v>42.6786111111111</v>
      </c>
    </row>
    <row r="108" hidden="1" customHeight="1" spans="1:5">
      <c r="A108" s="141" t="s">
        <v>137</v>
      </c>
      <c r="B108" s="169">
        <f t="shared" ref="B108:B110" si="13">G77</f>
        <v>0</v>
      </c>
      <c r="C108" s="214">
        <f t="shared" si="11"/>
        <v>0.333333333333333</v>
      </c>
      <c r="D108" s="206">
        <f t="shared" si="12"/>
        <v>0.0833333333333333</v>
      </c>
      <c r="E108" s="142">
        <f t="shared" si="10"/>
        <v>0</v>
      </c>
    </row>
    <row r="109" hidden="1" customHeight="1" spans="1:5">
      <c r="A109" s="171" t="s">
        <v>138</v>
      </c>
      <c r="B109" s="172">
        <f t="shared" si="13"/>
        <v>0</v>
      </c>
      <c r="C109" s="215">
        <f t="shared" si="11"/>
        <v>0.333333333333333</v>
      </c>
      <c r="D109" s="207">
        <f t="shared" si="12"/>
        <v>0.0833333333333333</v>
      </c>
      <c r="E109" s="174">
        <f t="shared" si="10"/>
        <v>0</v>
      </c>
    </row>
    <row r="110" hidden="1" customHeight="1" spans="1:5">
      <c r="A110" s="143" t="s">
        <v>139</v>
      </c>
      <c r="B110" s="155">
        <f t="shared" si="13"/>
        <v>0</v>
      </c>
      <c r="C110" s="177">
        <f t="shared" si="11"/>
        <v>0.333333333333333</v>
      </c>
      <c r="D110" s="208">
        <f t="shared" si="12"/>
        <v>0.0833333333333333</v>
      </c>
      <c r="E110" s="144">
        <f t="shared" si="10"/>
        <v>0</v>
      </c>
    </row>
    <row r="112" customHeight="1" spans="1:5">
      <c r="A112" s="145" t="s">
        <v>157</v>
      </c>
      <c r="B112" s="146"/>
      <c r="C112" s="146"/>
      <c r="D112" s="146"/>
      <c r="E112" s="147"/>
    </row>
    <row r="113" customHeight="1" spans="1:5">
      <c r="A113" s="199" t="s">
        <v>4</v>
      </c>
      <c r="B113" s="200" t="s">
        <v>163</v>
      </c>
      <c r="C113" s="200" t="s">
        <v>164</v>
      </c>
      <c r="D113" s="200" t="s">
        <v>165</v>
      </c>
      <c r="E113" s="202" t="s">
        <v>155</v>
      </c>
    </row>
    <row r="114" hidden="1" customHeight="1" spans="1:5">
      <c r="A114" s="151" t="s">
        <v>135</v>
      </c>
      <c r="B114" s="152">
        <f ca="1" t="shared" ref="B114:B119" si="14">D87</f>
        <v>0</v>
      </c>
      <c r="C114" s="152">
        <f ca="1" t="shared" ref="C114:C119" si="15">D96</f>
        <v>0</v>
      </c>
      <c r="D114" s="152">
        <f ca="1" t="shared" ref="D114:D119" si="16">E105</f>
        <v>0</v>
      </c>
      <c r="E114" s="160">
        <f ca="1" t="shared" ref="E114:E119" si="17">SUM(B114:D114)</f>
        <v>0</v>
      </c>
    </row>
    <row r="115" hidden="1" customHeight="1" spans="1:5">
      <c r="A115" s="161" t="s">
        <v>136</v>
      </c>
      <c r="B115" s="162">
        <f ca="1" t="shared" si="14"/>
        <v>0</v>
      </c>
      <c r="C115" s="162">
        <f ca="1" t="shared" si="15"/>
        <v>0</v>
      </c>
      <c r="D115" s="162">
        <f ca="1" t="shared" si="16"/>
        <v>0</v>
      </c>
      <c r="E115" s="164">
        <f ca="1" t="shared" si="17"/>
        <v>0</v>
      </c>
    </row>
    <row r="116" customHeight="1" spans="1:5">
      <c r="A116" s="165" t="str">
        <f>A16</f>
        <v>Servente (44h semanais)</v>
      </c>
      <c r="B116" s="166">
        <f t="shared" si="14"/>
        <v>128.035833333333</v>
      </c>
      <c r="C116" s="166">
        <f t="shared" si="15"/>
        <v>128.035833333333</v>
      </c>
      <c r="D116" s="166">
        <f t="shared" si="16"/>
        <v>42.6786111111111</v>
      </c>
      <c r="E116" s="168">
        <f t="shared" si="17"/>
        <v>298.750277777778</v>
      </c>
    </row>
    <row r="117" hidden="1" customHeight="1" spans="1:5">
      <c r="A117" s="141" t="s">
        <v>137</v>
      </c>
      <c r="B117" s="169">
        <f t="shared" si="14"/>
        <v>0</v>
      </c>
      <c r="C117" s="169">
        <f t="shared" si="15"/>
        <v>0</v>
      </c>
      <c r="D117" s="169">
        <f t="shared" si="16"/>
        <v>0</v>
      </c>
      <c r="E117" s="142">
        <f t="shared" si="17"/>
        <v>0</v>
      </c>
    </row>
    <row r="118" hidden="1" customHeight="1" spans="1:5">
      <c r="A118" s="171" t="s">
        <v>138</v>
      </c>
      <c r="B118" s="172">
        <f t="shared" si="14"/>
        <v>0</v>
      </c>
      <c r="C118" s="172">
        <f t="shared" si="15"/>
        <v>0</v>
      </c>
      <c r="D118" s="172">
        <f t="shared" si="16"/>
        <v>0</v>
      </c>
      <c r="E118" s="174">
        <f t="shared" si="17"/>
        <v>0</v>
      </c>
    </row>
    <row r="119" hidden="1" customHeight="1" spans="1:8">
      <c r="A119" s="143" t="s">
        <v>139</v>
      </c>
      <c r="B119" s="155">
        <f t="shared" si="14"/>
        <v>0</v>
      </c>
      <c r="C119" s="155">
        <f t="shared" si="15"/>
        <v>0</v>
      </c>
      <c r="D119" s="155">
        <f t="shared" si="16"/>
        <v>0</v>
      </c>
      <c r="E119" s="144">
        <f t="shared" si="17"/>
        <v>0</v>
      </c>
      <c r="H119" s="135"/>
    </row>
    <row r="121" customHeight="1" spans="1:8">
      <c r="A121" s="137" t="s">
        <v>166</v>
      </c>
      <c r="B121" s="138"/>
      <c r="C121" s="138"/>
      <c r="D121" s="138"/>
      <c r="E121" s="138"/>
      <c r="F121" s="138"/>
      <c r="G121" s="138"/>
      <c r="H121" s="138"/>
    </row>
    <row r="122" ht="51.75" customHeight="1" spans="1:8">
      <c r="A122" s="133" t="s">
        <v>167</v>
      </c>
      <c r="B122" s="133"/>
      <c r="C122" s="133"/>
      <c r="D122" s="133"/>
      <c r="E122" s="133"/>
      <c r="F122" s="133"/>
      <c r="G122" s="133"/>
      <c r="H122" s="133"/>
    </row>
    <row r="124" customHeight="1" spans="1:2">
      <c r="A124" s="139" t="s">
        <v>168</v>
      </c>
      <c r="B124" s="140"/>
    </row>
    <row r="125" customHeight="1" spans="1:2">
      <c r="A125" s="199" t="s">
        <v>169</v>
      </c>
      <c r="B125" s="202" t="s">
        <v>129</v>
      </c>
    </row>
    <row r="126" customHeight="1" spans="1:2">
      <c r="A126" s="151" t="s">
        <v>170</v>
      </c>
      <c r="B126" s="216">
        <v>0.2</v>
      </c>
    </row>
    <row r="127" customHeight="1" spans="1:2">
      <c r="A127" s="171" t="s">
        <v>171</v>
      </c>
      <c r="B127" s="217">
        <v>0.025</v>
      </c>
    </row>
    <row r="128" customHeight="1" spans="1:2">
      <c r="A128" s="171" t="s">
        <v>172</v>
      </c>
      <c r="B128" s="218">
        <v>0.03</v>
      </c>
    </row>
    <row r="129" customHeight="1" spans="1:2">
      <c r="A129" s="171" t="s">
        <v>173</v>
      </c>
      <c r="B129" s="217">
        <v>0.015</v>
      </c>
    </row>
    <row r="130" customHeight="1" spans="1:2">
      <c r="A130" s="171" t="s">
        <v>174</v>
      </c>
      <c r="B130" s="217">
        <v>0.01</v>
      </c>
    </row>
    <row r="131" customHeight="1" spans="1:2">
      <c r="A131" s="171" t="s">
        <v>175</v>
      </c>
      <c r="B131" s="217">
        <v>0.006</v>
      </c>
    </row>
    <row r="132" customHeight="1" spans="1:2">
      <c r="A132" s="171" t="s">
        <v>176</v>
      </c>
      <c r="B132" s="217">
        <v>0.002</v>
      </c>
    </row>
    <row r="133" customHeight="1" spans="1:2">
      <c r="A133" s="143" t="s">
        <v>177</v>
      </c>
      <c r="B133" s="219">
        <v>0.08</v>
      </c>
    </row>
    <row r="134" customHeight="1" spans="1:2">
      <c r="A134" s="220" t="s">
        <v>72</v>
      </c>
      <c r="B134" s="221">
        <f>SUM(B126:B133)</f>
        <v>0.368</v>
      </c>
    </row>
    <row r="136" customHeight="1" spans="1:4">
      <c r="A136" s="139" t="s">
        <v>178</v>
      </c>
      <c r="B136" s="158"/>
      <c r="C136" s="158"/>
      <c r="D136" s="140"/>
    </row>
    <row r="137" customHeight="1" spans="1:4">
      <c r="A137" s="199" t="s">
        <v>4</v>
      </c>
      <c r="B137" s="200" t="s">
        <v>128</v>
      </c>
      <c r="C137" s="200" t="s">
        <v>129</v>
      </c>
      <c r="D137" s="202" t="s">
        <v>134</v>
      </c>
    </row>
    <row r="138" hidden="1" customHeight="1" spans="1:4">
      <c r="A138" s="151" t="s">
        <v>135</v>
      </c>
      <c r="B138" s="152">
        <f ca="1">F74+E114</f>
        <v>0</v>
      </c>
      <c r="C138" s="222">
        <f>SUM($B$126:$B$132)</f>
        <v>0.288</v>
      </c>
      <c r="D138" s="160">
        <f ca="1">B138*C138</f>
        <v>0</v>
      </c>
    </row>
    <row r="139" hidden="1" customHeight="1" spans="1:4">
      <c r="A139" s="161" t="s">
        <v>136</v>
      </c>
      <c r="B139" s="162">
        <f ca="1">F75+E115</f>
        <v>0</v>
      </c>
      <c r="C139" s="223">
        <f t="shared" ref="C139:C143" si="18">SUM($B$126:$B$132)</f>
        <v>0.288</v>
      </c>
      <c r="D139" s="164">
        <f ca="1" t="shared" ref="D139:D143" si="19">B139*C139</f>
        <v>0</v>
      </c>
    </row>
    <row r="140" customHeight="1" spans="1:4">
      <c r="A140" s="165" t="str">
        <f>A16</f>
        <v>Servente (44h semanais)</v>
      </c>
      <c r="B140" s="166">
        <f>F76+E116</f>
        <v>1835.18027777778</v>
      </c>
      <c r="C140" s="224">
        <f t="shared" si="18"/>
        <v>0.288</v>
      </c>
      <c r="D140" s="168">
        <f t="shared" si="19"/>
        <v>528.53192</v>
      </c>
    </row>
    <row r="141" hidden="1" customHeight="1" spans="1:4">
      <c r="A141" s="141" t="s">
        <v>137</v>
      </c>
      <c r="B141" s="169">
        <f t="shared" ref="B141:B143" si="20">G77+E117</f>
        <v>0</v>
      </c>
      <c r="C141" s="225">
        <f t="shared" si="18"/>
        <v>0.288</v>
      </c>
      <c r="D141" s="142">
        <f t="shared" si="19"/>
        <v>0</v>
      </c>
    </row>
    <row r="142" hidden="1" customHeight="1" spans="1:4">
      <c r="A142" s="171" t="s">
        <v>138</v>
      </c>
      <c r="B142" s="172">
        <f t="shared" si="20"/>
        <v>0</v>
      </c>
      <c r="C142" s="226">
        <f t="shared" si="18"/>
        <v>0.288</v>
      </c>
      <c r="D142" s="174">
        <f t="shared" si="19"/>
        <v>0</v>
      </c>
    </row>
    <row r="143" hidden="1" customHeight="1" spans="1:4">
      <c r="A143" s="143" t="s">
        <v>139</v>
      </c>
      <c r="B143" s="155">
        <f t="shared" si="20"/>
        <v>0</v>
      </c>
      <c r="C143" s="227">
        <f t="shared" si="18"/>
        <v>0.288</v>
      </c>
      <c r="D143" s="144">
        <f t="shared" si="19"/>
        <v>0</v>
      </c>
    </row>
    <row r="145" customHeight="1" spans="1:4">
      <c r="A145" s="139" t="s">
        <v>179</v>
      </c>
      <c r="B145" s="158"/>
      <c r="C145" s="158"/>
      <c r="D145" s="140"/>
    </row>
    <row r="146" customHeight="1" spans="1:4">
      <c r="A146" s="199" t="s">
        <v>4</v>
      </c>
      <c r="B146" s="200" t="s">
        <v>128</v>
      </c>
      <c r="C146" s="200" t="s">
        <v>129</v>
      </c>
      <c r="D146" s="202" t="s">
        <v>134</v>
      </c>
    </row>
    <row r="147" hidden="1" customHeight="1" spans="1:4">
      <c r="A147" s="151" t="s">
        <v>135</v>
      </c>
      <c r="B147" s="152">
        <f ca="1">F74+E114</f>
        <v>0</v>
      </c>
      <c r="C147" s="203">
        <f>$B$133</f>
        <v>0.08</v>
      </c>
      <c r="D147" s="160">
        <f ca="1">B147*C147</f>
        <v>0</v>
      </c>
    </row>
    <row r="148" hidden="1" customHeight="1" spans="1:4">
      <c r="A148" s="161" t="s">
        <v>136</v>
      </c>
      <c r="B148" s="162">
        <f ca="1">F75+E115</f>
        <v>0</v>
      </c>
      <c r="C148" s="204">
        <f t="shared" ref="C148:C152" si="21">$B$133</f>
        <v>0.08</v>
      </c>
      <c r="D148" s="164">
        <f ca="1" t="shared" ref="D148:D152" si="22">B148*C148</f>
        <v>0</v>
      </c>
    </row>
    <row r="149" customHeight="1" spans="1:4">
      <c r="A149" s="165" t="str">
        <f>A16</f>
        <v>Servente (44h semanais)</v>
      </c>
      <c r="B149" s="166">
        <f>F76+E116</f>
        <v>1835.18027777778</v>
      </c>
      <c r="C149" s="205">
        <f t="shared" si="21"/>
        <v>0.08</v>
      </c>
      <c r="D149" s="168">
        <f t="shared" si="22"/>
        <v>146.814422222222</v>
      </c>
    </row>
    <row r="150" hidden="1" customHeight="1" spans="1:4">
      <c r="A150" s="141" t="s">
        <v>137</v>
      </c>
      <c r="B150" s="169">
        <f t="shared" ref="B150:B152" si="23">G77+E117</f>
        <v>0</v>
      </c>
      <c r="C150" s="206">
        <f t="shared" si="21"/>
        <v>0.08</v>
      </c>
      <c r="D150" s="142">
        <f t="shared" si="22"/>
        <v>0</v>
      </c>
    </row>
    <row r="151" hidden="1" customHeight="1" spans="1:4">
      <c r="A151" s="171" t="s">
        <v>138</v>
      </c>
      <c r="B151" s="172">
        <f t="shared" si="23"/>
        <v>0</v>
      </c>
      <c r="C151" s="207">
        <f t="shared" si="21"/>
        <v>0.08</v>
      </c>
      <c r="D151" s="174">
        <f t="shared" si="22"/>
        <v>0</v>
      </c>
    </row>
    <row r="152" hidden="1" customHeight="1" spans="1:4">
      <c r="A152" s="143" t="s">
        <v>139</v>
      </c>
      <c r="B152" s="155">
        <f t="shared" si="23"/>
        <v>0</v>
      </c>
      <c r="C152" s="208">
        <f t="shared" si="21"/>
        <v>0.08</v>
      </c>
      <c r="D152" s="144">
        <f t="shared" si="22"/>
        <v>0</v>
      </c>
    </row>
    <row r="154" customHeight="1" spans="1:4">
      <c r="A154" s="139" t="s">
        <v>166</v>
      </c>
      <c r="B154" s="158"/>
      <c r="C154" s="158"/>
      <c r="D154" s="140"/>
    </row>
    <row r="155" customHeight="1" spans="1:4">
      <c r="A155" s="199" t="s">
        <v>4</v>
      </c>
      <c r="B155" s="200" t="s">
        <v>180</v>
      </c>
      <c r="C155" s="200" t="s">
        <v>177</v>
      </c>
      <c r="D155" s="202" t="s">
        <v>155</v>
      </c>
    </row>
    <row r="156" hidden="1" customHeight="1" spans="1:4">
      <c r="A156" s="151" t="s">
        <v>135</v>
      </c>
      <c r="B156" s="152">
        <f ca="1">D138</f>
        <v>0</v>
      </c>
      <c r="C156" s="152">
        <f ca="1">D147</f>
        <v>0</v>
      </c>
      <c r="D156" s="160">
        <f ca="1">B156+C156</f>
        <v>0</v>
      </c>
    </row>
    <row r="157" hidden="1" customHeight="1" spans="1:4">
      <c r="A157" s="161" t="s">
        <v>136</v>
      </c>
      <c r="B157" s="162">
        <f ca="1" t="shared" ref="B157:B161" si="24">D139</f>
        <v>0</v>
      </c>
      <c r="C157" s="162">
        <f ca="1" t="shared" ref="C157:C161" si="25">D148</f>
        <v>0</v>
      </c>
      <c r="D157" s="164">
        <f ca="1" t="shared" ref="D157:D161" si="26">B157+C157</f>
        <v>0</v>
      </c>
    </row>
    <row r="158" customHeight="1" spans="1:4">
      <c r="A158" s="165" t="s">
        <v>150</v>
      </c>
      <c r="B158" s="166">
        <f t="shared" si="24"/>
        <v>528.53192</v>
      </c>
      <c r="C158" s="166">
        <f t="shared" si="25"/>
        <v>146.814422222222</v>
      </c>
      <c r="D158" s="168">
        <f t="shared" si="26"/>
        <v>675.346342222222</v>
      </c>
    </row>
    <row r="159" hidden="1" customHeight="1" spans="1:4">
      <c r="A159" s="141" t="s">
        <v>137</v>
      </c>
      <c r="B159" s="169">
        <f t="shared" si="24"/>
        <v>0</v>
      </c>
      <c r="C159" s="169">
        <f t="shared" si="25"/>
        <v>0</v>
      </c>
      <c r="D159" s="142">
        <f t="shared" si="26"/>
        <v>0</v>
      </c>
    </row>
    <row r="160" hidden="1" customHeight="1" spans="1:4">
      <c r="A160" s="171" t="s">
        <v>138</v>
      </c>
      <c r="B160" s="172">
        <f t="shared" si="24"/>
        <v>0</v>
      </c>
      <c r="C160" s="172">
        <f t="shared" si="25"/>
        <v>0</v>
      </c>
      <c r="D160" s="174">
        <f t="shared" si="26"/>
        <v>0</v>
      </c>
    </row>
    <row r="161" hidden="1" customHeight="1" spans="1:8">
      <c r="A161" s="143" t="s">
        <v>139</v>
      </c>
      <c r="B161" s="155">
        <f t="shared" si="24"/>
        <v>0</v>
      </c>
      <c r="C161" s="155">
        <f t="shared" si="25"/>
        <v>0</v>
      </c>
      <c r="D161" s="144">
        <f t="shared" si="26"/>
        <v>0</v>
      </c>
      <c r="H161" s="135"/>
    </row>
    <row r="163" customHeight="1" spans="1:8">
      <c r="A163" s="137" t="s">
        <v>181</v>
      </c>
      <c r="B163" s="138"/>
      <c r="C163" s="138"/>
      <c r="D163" s="138"/>
      <c r="E163" s="138"/>
      <c r="F163" s="138"/>
      <c r="G163" s="138"/>
      <c r="H163" s="138"/>
    </row>
    <row r="164" ht="72.75" customHeight="1" spans="1:8">
      <c r="A164" s="133" t="s">
        <v>182</v>
      </c>
      <c r="B164" s="133"/>
      <c r="C164" s="133"/>
      <c r="D164" s="133"/>
      <c r="E164" s="133"/>
      <c r="F164" s="133"/>
      <c r="G164" s="133"/>
      <c r="H164" s="133"/>
    </row>
    <row r="166" customHeight="1" spans="1:7">
      <c r="A166" s="135" t="s">
        <v>183</v>
      </c>
      <c r="B166" s="135"/>
      <c r="C166" s="135"/>
      <c r="D166" s="135"/>
      <c r="E166" s="135"/>
      <c r="F166" s="135"/>
      <c r="G166" s="135"/>
    </row>
    <row r="167" ht="36" customHeight="1"/>
    <row r="168" customHeight="1" spans="1:5">
      <c r="A168" s="228" t="s">
        <v>184</v>
      </c>
      <c r="B168" s="229"/>
      <c r="C168" s="229"/>
      <c r="D168" s="229"/>
      <c r="E168" s="230"/>
    </row>
    <row r="169" ht="30" spans="1:5">
      <c r="A169" s="231" t="s">
        <v>4</v>
      </c>
      <c r="B169" s="231" t="s">
        <v>185</v>
      </c>
      <c r="C169" s="231" t="s">
        <v>186</v>
      </c>
      <c r="D169" s="232" t="s">
        <v>187</v>
      </c>
      <c r="E169" s="231" t="s">
        <v>188</v>
      </c>
    </row>
    <row r="170" hidden="1" customHeight="1" spans="1:5">
      <c r="A170" s="165" t="s">
        <v>135</v>
      </c>
      <c r="B170" s="166"/>
      <c r="C170" s="233">
        <v>2</v>
      </c>
      <c r="D170" s="233">
        <v>15</v>
      </c>
      <c r="E170" s="168">
        <f t="shared" ref="E170:E175" si="27">B170*C170*D170</f>
        <v>0</v>
      </c>
    </row>
    <row r="171" hidden="1" customHeight="1" spans="1:5">
      <c r="A171" s="165" t="s">
        <v>136</v>
      </c>
      <c r="B171" s="166">
        <f>B170</f>
        <v>0</v>
      </c>
      <c r="C171" s="233">
        <f t="shared" ref="C171:C175" si="28">C170</f>
        <v>2</v>
      </c>
      <c r="D171" s="233">
        <v>15</v>
      </c>
      <c r="E171" s="168">
        <f t="shared" si="27"/>
        <v>0</v>
      </c>
    </row>
    <row r="172" customHeight="1" spans="1:5">
      <c r="A172" s="165" t="str">
        <f>A16</f>
        <v>Servente (44h semanais)</v>
      </c>
      <c r="B172" s="166">
        <f>B171</f>
        <v>0</v>
      </c>
      <c r="C172" s="233">
        <v>0</v>
      </c>
      <c r="D172" s="233">
        <v>0</v>
      </c>
      <c r="E172" s="168">
        <f t="shared" si="27"/>
        <v>0</v>
      </c>
    </row>
    <row r="173" hidden="1" customHeight="1" spans="1:5">
      <c r="A173" s="141" t="s">
        <v>137</v>
      </c>
      <c r="B173" s="169">
        <f>B172</f>
        <v>0</v>
      </c>
      <c r="C173" s="234">
        <f t="shared" si="28"/>
        <v>0</v>
      </c>
      <c r="D173" s="234">
        <v>15</v>
      </c>
      <c r="E173" s="142">
        <f t="shared" si="27"/>
        <v>0</v>
      </c>
    </row>
    <row r="174" hidden="1" customHeight="1" spans="1:5">
      <c r="A174" s="171" t="s">
        <v>138</v>
      </c>
      <c r="B174" s="172">
        <f>B173</f>
        <v>0</v>
      </c>
      <c r="C174" s="235">
        <f t="shared" si="28"/>
        <v>0</v>
      </c>
      <c r="D174" s="235">
        <v>15</v>
      </c>
      <c r="E174" s="174">
        <f t="shared" si="27"/>
        <v>0</v>
      </c>
    </row>
    <row r="175" hidden="1" customHeight="1" spans="1:5">
      <c r="A175" s="143" t="s">
        <v>139</v>
      </c>
      <c r="B175" s="155">
        <f>B174</f>
        <v>0</v>
      </c>
      <c r="C175" s="236">
        <f t="shared" si="28"/>
        <v>0</v>
      </c>
      <c r="D175" s="236">
        <v>22</v>
      </c>
      <c r="E175" s="144">
        <f t="shared" si="27"/>
        <v>0</v>
      </c>
    </row>
    <row r="177" customHeight="1" spans="1:5">
      <c r="A177" s="145" t="s">
        <v>189</v>
      </c>
      <c r="B177" s="146"/>
      <c r="C177" s="146"/>
      <c r="D177" s="146"/>
      <c r="E177" s="147"/>
    </row>
    <row r="178" customHeight="1" spans="1:5">
      <c r="A178" s="199" t="s">
        <v>4</v>
      </c>
      <c r="B178" s="200" t="s">
        <v>128</v>
      </c>
      <c r="C178" s="200" t="s">
        <v>190</v>
      </c>
      <c r="D178" s="200" t="s">
        <v>129</v>
      </c>
      <c r="E178" s="202" t="s">
        <v>191</v>
      </c>
    </row>
    <row r="179" hidden="1" customHeight="1" spans="1:5">
      <c r="A179" s="151" t="s">
        <v>135</v>
      </c>
      <c r="B179" s="152">
        <f>B16</f>
        <v>1536.43</v>
      </c>
      <c r="C179" s="159">
        <v>0.5</v>
      </c>
      <c r="D179" s="159">
        <v>0.06</v>
      </c>
      <c r="E179" s="160">
        <f t="shared" ref="E179:E184" si="29">B179*C179*D179</f>
        <v>46.0929</v>
      </c>
    </row>
    <row r="180" hidden="1" customHeight="1" spans="1:5">
      <c r="A180" s="161" t="s">
        <v>136</v>
      </c>
      <c r="B180" s="162">
        <f>B16</f>
        <v>1536.43</v>
      </c>
      <c r="C180" s="163">
        <v>0.5</v>
      </c>
      <c r="D180" s="163">
        <v>0.06</v>
      </c>
      <c r="E180" s="164">
        <f t="shared" si="29"/>
        <v>46.0929</v>
      </c>
    </row>
    <row r="181" customHeight="1" spans="1:5">
      <c r="A181" s="165" t="str">
        <f>A16</f>
        <v>Servente (44h semanais)</v>
      </c>
      <c r="B181" s="166">
        <f>B16</f>
        <v>1536.43</v>
      </c>
      <c r="C181" s="167">
        <v>1</v>
      </c>
      <c r="D181" s="167">
        <v>0.06</v>
      </c>
      <c r="E181" s="168">
        <v>0</v>
      </c>
    </row>
    <row r="182" hidden="1" customHeight="1" spans="1:5">
      <c r="A182" s="141" t="s">
        <v>137</v>
      </c>
      <c r="B182" s="169">
        <f>B17</f>
        <v>0</v>
      </c>
      <c r="C182" s="170">
        <v>0.5</v>
      </c>
      <c r="D182" s="170">
        <v>0.06</v>
      </c>
      <c r="E182" s="142">
        <f t="shared" si="29"/>
        <v>0</v>
      </c>
    </row>
    <row r="183" hidden="1" customHeight="1" spans="1:5">
      <c r="A183" s="171" t="s">
        <v>138</v>
      </c>
      <c r="B183" s="172">
        <f>B17</f>
        <v>0</v>
      </c>
      <c r="C183" s="173">
        <v>0.5</v>
      </c>
      <c r="D183" s="173">
        <v>0.06</v>
      </c>
      <c r="E183" s="174">
        <f t="shared" si="29"/>
        <v>0</v>
      </c>
    </row>
    <row r="184" hidden="1" customHeight="1" spans="1:5">
      <c r="A184" s="143" t="s">
        <v>139</v>
      </c>
      <c r="B184" s="155">
        <f>B17</f>
        <v>0</v>
      </c>
      <c r="C184" s="175">
        <v>1</v>
      </c>
      <c r="D184" s="175">
        <v>0.06</v>
      </c>
      <c r="E184" s="144">
        <f t="shared" si="29"/>
        <v>0</v>
      </c>
    </row>
    <row r="186" customHeight="1" spans="1:4">
      <c r="A186" s="139" t="s">
        <v>192</v>
      </c>
      <c r="B186" s="158"/>
      <c r="C186" s="158"/>
      <c r="D186" s="140"/>
    </row>
    <row r="187" customHeight="1" spans="1:4">
      <c r="A187" s="199" t="s">
        <v>4</v>
      </c>
      <c r="B187" s="200" t="s">
        <v>188</v>
      </c>
      <c r="C187" s="200" t="s">
        <v>193</v>
      </c>
      <c r="D187" s="202" t="s">
        <v>194</v>
      </c>
    </row>
    <row r="188" hidden="1" customHeight="1" spans="1:4">
      <c r="A188" s="151" t="s">
        <v>135</v>
      </c>
      <c r="B188" s="152">
        <f t="shared" ref="B188:B193" si="30">E170</f>
        <v>0</v>
      </c>
      <c r="C188" s="152">
        <f t="shared" ref="C188:C193" si="31">E179</f>
        <v>46.0929</v>
      </c>
      <c r="D188" s="160">
        <f>B188-C188</f>
        <v>-46.0929</v>
      </c>
    </row>
    <row r="189" hidden="1" customHeight="1" spans="1:4">
      <c r="A189" s="161" t="s">
        <v>136</v>
      </c>
      <c r="B189" s="162">
        <f t="shared" si="30"/>
        <v>0</v>
      </c>
      <c r="C189" s="162">
        <f t="shared" si="31"/>
        <v>46.0929</v>
      </c>
      <c r="D189" s="164">
        <f t="shared" ref="D189:D193" si="32">B189-C189</f>
        <v>-46.0929</v>
      </c>
    </row>
    <row r="190" customHeight="1" spans="1:4">
      <c r="A190" s="165" t="str">
        <f>A16</f>
        <v>Servente (44h semanais)</v>
      </c>
      <c r="B190" s="166">
        <f t="shared" si="30"/>
        <v>0</v>
      </c>
      <c r="C190" s="166">
        <f t="shared" si="31"/>
        <v>0</v>
      </c>
      <c r="D190" s="168">
        <f t="shared" si="32"/>
        <v>0</v>
      </c>
    </row>
    <row r="191" hidden="1" customHeight="1" spans="1:4">
      <c r="A191" s="141" t="s">
        <v>137</v>
      </c>
      <c r="B191" s="169">
        <f t="shared" si="30"/>
        <v>0</v>
      </c>
      <c r="C191" s="169">
        <f t="shared" si="31"/>
        <v>0</v>
      </c>
      <c r="D191" s="142">
        <f t="shared" si="32"/>
        <v>0</v>
      </c>
    </row>
    <row r="192" hidden="1" customHeight="1" spans="1:4">
      <c r="A192" s="171" t="s">
        <v>138</v>
      </c>
      <c r="B192" s="172">
        <f t="shared" si="30"/>
        <v>0</v>
      </c>
      <c r="C192" s="172">
        <f t="shared" si="31"/>
        <v>0</v>
      </c>
      <c r="D192" s="174">
        <f t="shared" si="32"/>
        <v>0</v>
      </c>
    </row>
    <row r="193" hidden="1" customHeight="1" spans="1:8">
      <c r="A193" s="143" t="s">
        <v>139</v>
      </c>
      <c r="B193" s="155">
        <f t="shared" si="30"/>
        <v>0</v>
      </c>
      <c r="C193" s="155">
        <f t="shared" si="31"/>
        <v>0</v>
      </c>
      <c r="D193" s="144">
        <f t="shared" si="32"/>
        <v>0</v>
      </c>
      <c r="H193" s="135"/>
    </row>
    <row r="195" customHeight="1" spans="1:7">
      <c r="A195" s="135" t="s">
        <v>195</v>
      </c>
      <c r="B195" s="135"/>
      <c r="C195" s="135"/>
      <c r="D195" s="135"/>
      <c r="E195" s="135"/>
      <c r="F195" s="135"/>
      <c r="G195" s="135"/>
    </row>
    <row r="196" ht="31.5" customHeight="1"/>
    <row r="197" customHeight="1" spans="1:4">
      <c r="A197" s="139" t="s">
        <v>195</v>
      </c>
      <c r="B197" s="158"/>
      <c r="C197" s="158"/>
      <c r="D197" s="140"/>
    </row>
    <row r="198" ht="27" customHeight="1" spans="1:4">
      <c r="A198" s="148" t="s">
        <v>4</v>
      </c>
      <c r="B198" s="149" t="s">
        <v>196</v>
      </c>
      <c r="C198" s="178" t="s">
        <v>187</v>
      </c>
      <c r="D198" s="150" t="s">
        <v>134</v>
      </c>
    </row>
    <row r="199" hidden="1" customHeight="1" spans="1:4">
      <c r="A199" s="151" t="s">
        <v>135</v>
      </c>
      <c r="B199" s="152"/>
      <c r="C199" s="237">
        <f>D170</f>
        <v>15</v>
      </c>
      <c r="D199" s="160">
        <f>B199*C199</f>
        <v>0</v>
      </c>
    </row>
    <row r="200" hidden="1" customHeight="1" spans="1:4">
      <c r="A200" s="161" t="s">
        <v>136</v>
      </c>
      <c r="B200" s="162">
        <f>B199</f>
        <v>0</v>
      </c>
      <c r="C200" s="238">
        <f t="shared" ref="C200:C204" si="33">D171</f>
        <v>15</v>
      </c>
      <c r="D200" s="164">
        <f t="shared" ref="D200:D204" si="34">B200*C200</f>
        <v>0</v>
      </c>
    </row>
    <row r="201" customHeight="1" spans="1:4">
      <c r="A201" s="165" t="str">
        <f>A16</f>
        <v>Servente (44h semanais)</v>
      </c>
      <c r="B201" s="166">
        <v>27.6</v>
      </c>
      <c r="C201" s="233">
        <v>22</v>
      </c>
      <c r="D201" s="168">
        <f t="shared" si="34"/>
        <v>607.2</v>
      </c>
    </row>
    <row r="202" hidden="1" customHeight="1" spans="1:4">
      <c r="A202" s="141" t="s">
        <v>137</v>
      </c>
      <c r="B202" s="169">
        <f>B201</f>
        <v>27.6</v>
      </c>
      <c r="C202" s="234">
        <f t="shared" si="33"/>
        <v>15</v>
      </c>
      <c r="D202" s="142">
        <f t="shared" si="34"/>
        <v>414</v>
      </c>
    </row>
    <row r="203" hidden="1" customHeight="1" spans="1:4">
      <c r="A203" s="171" t="s">
        <v>138</v>
      </c>
      <c r="B203" s="172">
        <f>B202</f>
        <v>27.6</v>
      </c>
      <c r="C203" s="235">
        <f t="shared" si="33"/>
        <v>15</v>
      </c>
      <c r="D203" s="174">
        <f t="shared" si="34"/>
        <v>414</v>
      </c>
    </row>
    <row r="204" hidden="1" customHeight="1" spans="1:4">
      <c r="A204" s="143" t="s">
        <v>139</v>
      </c>
      <c r="B204" s="155">
        <f>B203</f>
        <v>27.6</v>
      </c>
      <c r="C204" s="236">
        <f t="shared" si="33"/>
        <v>22</v>
      </c>
      <c r="D204" s="144">
        <f t="shared" si="34"/>
        <v>607.2</v>
      </c>
    </row>
    <row r="206" customHeight="1" spans="1:4">
      <c r="A206" s="139" t="s">
        <v>197</v>
      </c>
      <c r="B206" s="158"/>
      <c r="C206" s="158"/>
      <c r="D206" s="140"/>
    </row>
    <row r="207" ht="27" customHeight="1" spans="1:4">
      <c r="A207" s="199" t="s">
        <v>4</v>
      </c>
      <c r="B207" s="200" t="s">
        <v>128</v>
      </c>
      <c r="C207" s="200" t="s">
        <v>129</v>
      </c>
      <c r="D207" s="202" t="s">
        <v>191</v>
      </c>
    </row>
    <row r="208" ht="27" customHeight="1" spans="1:4">
      <c r="A208" s="151" t="str">
        <f>A16</f>
        <v>Servente (44h semanais)</v>
      </c>
      <c r="B208" s="152">
        <f>D201</f>
        <v>607.2</v>
      </c>
      <c r="C208" s="159">
        <v>0.01</v>
      </c>
      <c r="D208" s="160">
        <f>B208*C208</f>
        <v>6.072</v>
      </c>
    </row>
    <row r="209" hidden="1" customHeight="1" spans="1:4">
      <c r="A209" s="171" t="s">
        <v>136</v>
      </c>
      <c r="B209" s="172">
        <f t="shared" ref="B209:B213" si="35">D200</f>
        <v>0</v>
      </c>
      <c r="C209" s="173">
        <f>C208</f>
        <v>0.01</v>
      </c>
      <c r="D209" s="174">
        <f t="shared" ref="D209:D213" si="36">B209*C209</f>
        <v>0</v>
      </c>
    </row>
    <row r="210" hidden="1" customHeight="1" spans="1:4">
      <c r="A210" s="171" t="str">
        <f>A16</f>
        <v>Servente (44h semanais)</v>
      </c>
      <c r="B210" s="172">
        <f>0</f>
        <v>0</v>
      </c>
      <c r="C210" s="173">
        <f>C209</f>
        <v>0.01</v>
      </c>
      <c r="D210" s="174">
        <f t="shared" si="36"/>
        <v>0</v>
      </c>
    </row>
    <row r="211" hidden="1" customHeight="1" spans="1:4">
      <c r="A211" s="171" t="s">
        <v>137</v>
      </c>
      <c r="B211" s="172">
        <f t="shared" si="35"/>
        <v>414</v>
      </c>
      <c r="C211" s="173">
        <f>C210</f>
        <v>0.01</v>
      </c>
      <c r="D211" s="174">
        <f t="shared" si="36"/>
        <v>4.14</v>
      </c>
    </row>
    <row r="212" hidden="1" customHeight="1" spans="1:4">
      <c r="A212" s="171" t="s">
        <v>138</v>
      </c>
      <c r="B212" s="172">
        <f t="shared" si="35"/>
        <v>414</v>
      </c>
      <c r="C212" s="173">
        <f>C211</f>
        <v>0.01</v>
      </c>
      <c r="D212" s="174">
        <f t="shared" si="36"/>
        <v>4.14</v>
      </c>
    </row>
    <row r="213" hidden="1" customHeight="1" spans="1:4">
      <c r="A213" s="143" t="s">
        <v>139</v>
      </c>
      <c r="B213" s="155">
        <f t="shared" si="35"/>
        <v>607.2</v>
      </c>
      <c r="C213" s="175">
        <f>C212</f>
        <v>0.01</v>
      </c>
      <c r="D213" s="144">
        <f t="shared" si="36"/>
        <v>6.072</v>
      </c>
    </row>
    <row r="215" customHeight="1" spans="1:4">
      <c r="A215" s="139" t="s">
        <v>198</v>
      </c>
      <c r="B215" s="158"/>
      <c r="C215" s="158"/>
      <c r="D215" s="140"/>
    </row>
    <row r="216" customHeight="1" spans="1:4">
      <c r="A216" s="199" t="s">
        <v>4</v>
      </c>
      <c r="B216" s="200" t="s">
        <v>188</v>
      </c>
      <c r="C216" s="200" t="s">
        <v>191</v>
      </c>
      <c r="D216" s="202" t="s">
        <v>194</v>
      </c>
    </row>
    <row r="217" hidden="1" customHeight="1" spans="1:4">
      <c r="A217" s="151" t="s">
        <v>135</v>
      </c>
      <c r="B217" s="152">
        <f>D199</f>
        <v>0</v>
      </c>
      <c r="C217" s="152">
        <f>D208</f>
        <v>6.072</v>
      </c>
      <c r="D217" s="160">
        <f>B217-C217</f>
        <v>-6.072</v>
      </c>
    </row>
    <row r="218" hidden="1" customHeight="1" spans="1:4">
      <c r="A218" s="161" t="s">
        <v>136</v>
      </c>
      <c r="B218" s="162">
        <f t="shared" ref="B218:B222" si="37">D200</f>
        <v>0</v>
      </c>
      <c r="C218" s="162">
        <f t="shared" ref="C218:C222" si="38">D209</f>
        <v>0</v>
      </c>
      <c r="D218" s="164">
        <f t="shared" ref="D218:D222" si="39">B218-C218</f>
        <v>0</v>
      </c>
    </row>
    <row r="219" customHeight="1" spans="1:4">
      <c r="A219" s="165" t="str">
        <f>A16</f>
        <v>Servente (44h semanais)</v>
      </c>
      <c r="B219" s="166">
        <f t="shared" si="37"/>
        <v>607.2</v>
      </c>
      <c r="C219" s="166">
        <f>D208</f>
        <v>6.072</v>
      </c>
      <c r="D219" s="168">
        <f t="shared" si="39"/>
        <v>601.128</v>
      </c>
    </row>
    <row r="220" hidden="1" customHeight="1" spans="1:4">
      <c r="A220" s="141" t="s">
        <v>137</v>
      </c>
      <c r="B220" s="169">
        <f t="shared" si="37"/>
        <v>414</v>
      </c>
      <c r="C220" s="169">
        <f t="shared" si="38"/>
        <v>4.14</v>
      </c>
      <c r="D220" s="142">
        <f t="shared" si="39"/>
        <v>409.86</v>
      </c>
    </row>
    <row r="221" hidden="1" customHeight="1" spans="1:4">
      <c r="A221" s="171" t="s">
        <v>138</v>
      </c>
      <c r="B221" s="172">
        <f t="shared" si="37"/>
        <v>414</v>
      </c>
      <c r="C221" s="172">
        <f t="shared" si="38"/>
        <v>4.14</v>
      </c>
      <c r="D221" s="174">
        <f t="shared" si="39"/>
        <v>409.86</v>
      </c>
    </row>
    <row r="222" hidden="1" customHeight="1" spans="1:8">
      <c r="A222" s="143" t="s">
        <v>139</v>
      </c>
      <c r="B222" s="155">
        <f t="shared" si="37"/>
        <v>607.2</v>
      </c>
      <c r="C222" s="155">
        <f t="shared" si="38"/>
        <v>6.072</v>
      </c>
      <c r="D222" s="144">
        <f t="shared" si="39"/>
        <v>601.128</v>
      </c>
      <c r="H222" s="135"/>
    </row>
    <row r="224" ht="51.75" customHeight="1" spans="1:8">
      <c r="A224" s="129" t="s">
        <v>199</v>
      </c>
      <c r="B224" s="129"/>
      <c r="C224" s="129"/>
      <c r="D224" s="129"/>
      <c r="E224" s="129"/>
      <c r="F224" s="129"/>
      <c r="G224" s="129"/>
      <c r="H224" s="129"/>
    </row>
    <row r="226" customHeight="1" spans="1:4">
      <c r="A226" s="239" t="s">
        <v>200</v>
      </c>
      <c r="B226" s="240"/>
      <c r="C226" s="240"/>
      <c r="D226" s="241"/>
    </row>
    <row r="227" customHeight="1" spans="1:4">
      <c r="A227" s="242" t="s">
        <v>4</v>
      </c>
      <c r="B227" s="231" t="s">
        <v>134</v>
      </c>
      <c r="C227" s="231" t="s">
        <v>201</v>
      </c>
      <c r="D227" s="243" t="s">
        <v>194</v>
      </c>
    </row>
    <row r="228" hidden="1" customHeight="1" spans="1:4">
      <c r="A228" s="244" t="s">
        <v>135</v>
      </c>
      <c r="B228" s="245"/>
      <c r="C228" s="245"/>
      <c r="D228" s="245"/>
    </row>
    <row r="229" hidden="1" customHeight="1" spans="1:4">
      <c r="A229" s="246" t="s">
        <v>136</v>
      </c>
      <c r="B229" s="247"/>
      <c r="C229" s="247"/>
      <c r="D229" s="247"/>
    </row>
    <row r="230" customHeight="1" spans="1:4">
      <c r="A230" s="248" t="str">
        <f>A16</f>
        <v>Servente (44h semanais)</v>
      </c>
      <c r="B230" s="249">
        <v>106</v>
      </c>
      <c r="C230" s="249">
        <v>1</v>
      </c>
      <c r="D230" s="250">
        <f>B230*C230</f>
        <v>106</v>
      </c>
    </row>
    <row r="231" customHeight="1" spans="2:4">
      <c r="B231" s="251"/>
      <c r="C231" s="251"/>
      <c r="D231" s="252"/>
    </row>
    <row r="232" ht="51.75" customHeight="1" spans="1:8">
      <c r="A232" s="129" t="s">
        <v>202</v>
      </c>
      <c r="B232" s="129"/>
      <c r="C232" s="129"/>
      <c r="D232" s="129"/>
      <c r="E232" s="129"/>
      <c r="F232" s="129"/>
      <c r="G232" s="129"/>
      <c r="H232" s="129"/>
    </row>
    <row r="234" customHeight="1" spans="1:4">
      <c r="A234" s="139" t="s">
        <v>203</v>
      </c>
      <c r="B234" s="158"/>
      <c r="C234" s="158"/>
      <c r="D234" s="140"/>
    </row>
    <row r="235" customHeight="1" spans="1:4">
      <c r="A235" s="199" t="s">
        <v>4</v>
      </c>
      <c r="B235" s="200" t="s">
        <v>134</v>
      </c>
      <c r="C235" s="200" t="s">
        <v>201</v>
      </c>
      <c r="D235" s="202" t="s">
        <v>194</v>
      </c>
    </row>
    <row r="236" hidden="1" customHeight="1" spans="1:4">
      <c r="A236" s="151" t="s">
        <v>135</v>
      </c>
      <c r="B236" s="152"/>
      <c r="C236" s="152"/>
      <c r="D236" s="160"/>
    </row>
    <row r="237" hidden="1" customHeight="1" spans="1:4">
      <c r="A237" s="161" t="s">
        <v>136</v>
      </c>
      <c r="B237" s="162"/>
      <c r="C237" s="162"/>
      <c r="D237" s="164"/>
    </row>
    <row r="238" customHeight="1" spans="1:4">
      <c r="A238" s="165" t="str">
        <f>A16</f>
        <v>Servente (44h semanais)</v>
      </c>
      <c r="B238" s="166">
        <v>49.35</v>
      </c>
      <c r="C238" s="166">
        <v>1</v>
      </c>
      <c r="D238" s="168">
        <f>B238*C238</f>
        <v>49.35</v>
      </c>
    </row>
    <row r="239" hidden="1" customHeight="1" spans="1:4">
      <c r="A239" s="141" t="s">
        <v>137</v>
      </c>
      <c r="B239" s="169"/>
      <c r="C239" s="169"/>
      <c r="D239" s="142"/>
    </row>
    <row r="240" hidden="1" customHeight="1" spans="1:4">
      <c r="A240" s="171" t="s">
        <v>138</v>
      </c>
      <c r="B240" s="172"/>
      <c r="C240" s="172"/>
      <c r="D240" s="174"/>
    </row>
    <row r="241" hidden="1" customHeight="1" spans="1:8">
      <c r="A241" s="143" t="s">
        <v>139</v>
      </c>
      <c r="B241" s="155"/>
      <c r="C241" s="155"/>
      <c r="D241" s="144"/>
      <c r="H241" s="135"/>
    </row>
    <row r="243" ht="46.5" customHeight="1" spans="1:8">
      <c r="A243" s="129" t="s">
        <v>204</v>
      </c>
      <c r="B243" s="129"/>
      <c r="C243" s="129"/>
      <c r="D243" s="129"/>
      <c r="E243" s="129"/>
      <c r="F243" s="129"/>
      <c r="G243" s="129"/>
      <c r="H243" s="129"/>
    </row>
    <row r="245" customHeight="1" spans="1:4">
      <c r="A245" s="139" t="s">
        <v>205</v>
      </c>
      <c r="B245" s="158"/>
      <c r="C245" s="158"/>
      <c r="D245" s="140"/>
    </row>
    <row r="246" customHeight="1" spans="1:4">
      <c r="A246" s="199" t="s">
        <v>4</v>
      </c>
      <c r="B246" s="200" t="s">
        <v>134</v>
      </c>
      <c r="C246" s="200" t="s">
        <v>201</v>
      </c>
      <c r="D246" s="202" t="s">
        <v>194</v>
      </c>
    </row>
    <row r="247" hidden="1" customHeight="1" spans="1:4">
      <c r="A247" s="151" t="s">
        <v>135</v>
      </c>
      <c r="B247" s="152"/>
      <c r="C247" s="152"/>
      <c r="D247" s="160"/>
    </row>
    <row r="248" hidden="1" customHeight="1" spans="1:4">
      <c r="A248" s="161" t="s">
        <v>136</v>
      </c>
      <c r="B248" s="162"/>
      <c r="C248" s="162"/>
      <c r="D248" s="164"/>
    </row>
    <row r="249" customHeight="1" spans="1:4">
      <c r="A249" s="165" t="str">
        <f>A16</f>
        <v>Servente (44h semanais)</v>
      </c>
      <c r="B249" s="166">
        <v>258.79</v>
      </c>
      <c r="C249" s="166">
        <f>6/12</f>
        <v>0.5</v>
      </c>
      <c r="D249" s="168">
        <f>B249*C249</f>
        <v>129.395</v>
      </c>
    </row>
    <row r="250" customHeight="1" spans="2:4">
      <c r="B250" s="251"/>
      <c r="C250" s="251"/>
      <c r="D250" s="252"/>
    </row>
    <row r="251" ht="46.5" customHeight="1" spans="1:8">
      <c r="A251" s="129" t="s">
        <v>206</v>
      </c>
      <c r="B251" s="129"/>
      <c r="C251" s="129"/>
      <c r="D251" s="129"/>
      <c r="E251" s="129"/>
      <c r="F251" s="129"/>
      <c r="G251" s="129"/>
      <c r="H251" s="129"/>
    </row>
    <row r="253" customHeight="1" spans="1:4">
      <c r="A253" s="139" t="s">
        <v>207</v>
      </c>
      <c r="B253" s="158"/>
      <c r="C253" s="158"/>
      <c r="D253" s="140"/>
    </row>
    <row r="254" customHeight="1" spans="1:4">
      <c r="A254" s="199" t="s">
        <v>4</v>
      </c>
      <c r="B254" s="200" t="s">
        <v>134</v>
      </c>
      <c r="C254" s="200" t="s">
        <v>201</v>
      </c>
      <c r="D254" s="202" t="s">
        <v>194</v>
      </c>
    </row>
    <row r="255" hidden="1" customHeight="1" spans="1:4">
      <c r="A255" s="151" t="s">
        <v>135</v>
      </c>
      <c r="B255" s="152"/>
      <c r="C255" s="152"/>
      <c r="D255" s="160"/>
    </row>
    <row r="256" hidden="1" customHeight="1" spans="1:4">
      <c r="A256" s="161" t="s">
        <v>136</v>
      </c>
      <c r="B256" s="162"/>
      <c r="C256" s="162"/>
      <c r="D256" s="164"/>
    </row>
    <row r="257" customHeight="1" spans="1:4">
      <c r="A257" s="165" t="str">
        <f>A16</f>
        <v>Servente (44h semanais)</v>
      </c>
      <c r="B257" s="166">
        <f>B16*3</f>
        <v>4609.29</v>
      </c>
      <c r="C257" s="166">
        <f>1/60</f>
        <v>0.0166666666666667</v>
      </c>
      <c r="D257" s="168">
        <f>B257*C257</f>
        <v>76.8215</v>
      </c>
    </row>
    <row r="258" hidden="1" customHeight="1" spans="1:4">
      <c r="A258" s="141" t="s">
        <v>137</v>
      </c>
      <c r="B258" s="169"/>
      <c r="C258" s="169"/>
      <c r="D258" s="142"/>
    </row>
    <row r="259" hidden="1" customHeight="1" spans="1:4">
      <c r="A259" s="171" t="s">
        <v>138</v>
      </c>
      <c r="B259" s="172"/>
      <c r="C259" s="172"/>
      <c r="D259" s="174"/>
    </row>
    <row r="260" hidden="1" customHeight="1" spans="1:8">
      <c r="A260" s="143" t="s">
        <v>139</v>
      </c>
      <c r="B260" s="155"/>
      <c r="C260" s="155"/>
      <c r="D260" s="144"/>
      <c r="H260" s="79"/>
    </row>
    <row r="262" customHeight="1" spans="1:8">
      <c r="A262" s="186" t="s">
        <v>181</v>
      </c>
      <c r="B262" s="187"/>
      <c r="C262" s="187"/>
      <c r="D262" s="187"/>
      <c r="E262" s="187"/>
      <c r="F262" s="187"/>
      <c r="G262" s="187"/>
      <c r="H262" s="188"/>
    </row>
    <row r="263" s="129" customFormat="1" ht="43.5" customHeight="1" spans="1:8">
      <c r="A263" s="253" t="s">
        <v>4</v>
      </c>
      <c r="B263" s="201" t="s">
        <v>208</v>
      </c>
      <c r="C263" s="201" t="s">
        <v>209</v>
      </c>
      <c r="D263" s="201" t="s">
        <v>210</v>
      </c>
      <c r="E263" s="201" t="s">
        <v>211</v>
      </c>
      <c r="F263" s="201" t="s">
        <v>212</v>
      </c>
      <c r="G263" s="201" t="s">
        <v>213</v>
      </c>
      <c r="H263" s="254" t="s">
        <v>155</v>
      </c>
    </row>
    <row r="264" hidden="1" customHeight="1" spans="1:8">
      <c r="A264" s="255" t="s">
        <v>135</v>
      </c>
      <c r="B264" s="152">
        <f>D188</f>
        <v>-46.0929</v>
      </c>
      <c r="C264" s="152">
        <f>D217</f>
        <v>-6.072</v>
      </c>
      <c r="D264" s="152">
        <f>D236</f>
        <v>0</v>
      </c>
      <c r="E264" s="152">
        <f t="shared" ref="E264:E269" si="40">D255</f>
        <v>0</v>
      </c>
      <c r="F264" s="152">
        <f t="shared" ref="F264:F266" si="41">E255</f>
        <v>0</v>
      </c>
      <c r="G264" s="152">
        <f t="shared" ref="G264:G266" si="42">F255</f>
        <v>0</v>
      </c>
      <c r="H264" s="256">
        <f>SUM(B264:E264)</f>
        <v>-52.1649</v>
      </c>
    </row>
    <row r="265" hidden="1" customHeight="1" spans="1:8">
      <c r="A265" s="246" t="s">
        <v>136</v>
      </c>
      <c r="B265" s="162">
        <f t="shared" ref="B265:B269" si="43">D189</f>
        <v>-46.0929</v>
      </c>
      <c r="C265" s="162">
        <f t="shared" ref="C265:C269" si="44">D218</f>
        <v>0</v>
      </c>
      <c r="D265" s="162">
        <f t="shared" ref="D265:D269" si="45">D237</f>
        <v>0</v>
      </c>
      <c r="E265" s="162">
        <f t="shared" si="40"/>
        <v>0</v>
      </c>
      <c r="F265" s="162">
        <f t="shared" si="41"/>
        <v>0</v>
      </c>
      <c r="G265" s="162">
        <f t="shared" si="42"/>
        <v>0</v>
      </c>
      <c r="H265" s="257">
        <f>SUM(B265:E265)</f>
        <v>-46.0929</v>
      </c>
    </row>
    <row r="266" customHeight="1" spans="1:8">
      <c r="A266" s="258" t="str">
        <f>A16</f>
        <v>Servente (44h semanais)</v>
      </c>
      <c r="B266" s="259">
        <f t="shared" si="43"/>
        <v>0</v>
      </c>
      <c r="C266" s="259">
        <f t="shared" si="44"/>
        <v>601.128</v>
      </c>
      <c r="D266" s="259">
        <f>D230</f>
        <v>106</v>
      </c>
      <c r="E266" s="259">
        <f>D238</f>
        <v>49.35</v>
      </c>
      <c r="F266" s="259">
        <f>D249</f>
        <v>129.395</v>
      </c>
      <c r="G266" s="259">
        <f>D257</f>
        <v>76.8215</v>
      </c>
      <c r="H266" s="260">
        <f>SUM(B266:G266)</f>
        <v>962.6945</v>
      </c>
    </row>
    <row r="267" hidden="1" customHeight="1" spans="1:6">
      <c r="A267" s="141" t="s">
        <v>137</v>
      </c>
      <c r="B267" s="169">
        <f t="shared" si="43"/>
        <v>0</v>
      </c>
      <c r="C267" s="169">
        <f t="shared" si="44"/>
        <v>409.86</v>
      </c>
      <c r="D267" s="169">
        <f t="shared" si="45"/>
        <v>0</v>
      </c>
      <c r="E267" s="169">
        <f t="shared" si="40"/>
        <v>0</v>
      </c>
      <c r="F267" s="142">
        <f t="shared" ref="F267:F269" si="46">SUM(B267:E267)</f>
        <v>409.86</v>
      </c>
    </row>
    <row r="268" hidden="1" customHeight="1" spans="1:6">
      <c r="A268" s="171" t="s">
        <v>138</v>
      </c>
      <c r="B268" s="172">
        <f t="shared" si="43"/>
        <v>0</v>
      </c>
      <c r="C268" s="172">
        <f t="shared" si="44"/>
        <v>409.86</v>
      </c>
      <c r="D268" s="172">
        <f t="shared" si="45"/>
        <v>0</v>
      </c>
      <c r="E268" s="172">
        <f t="shared" si="40"/>
        <v>0</v>
      </c>
      <c r="F268" s="174">
        <f t="shared" si="46"/>
        <v>409.86</v>
      </c>
    </row>
    <row r="269" hidden="1" customHeight="1" spans="1:8">
      <c r="A269" s="143" t="s">
        <v>139</v>
      </c>
      <c r="B269" s="155">
        <f t="shared" si="43"/>
        <v>0</v>
      </c>
      <c r="C269" s="155">
        <f t="shared" si="44"/>
        <v>601.128</v>
      </c>
      <c r="D269" s="155">
        <f t="shared" si="45"/>
        <v>0</v>
      </c>
      <c r="E269" s="155">
        <f t="shared" si="40"/>
        <v>0</v>
      </c>
      <c r="F269" s="144">
        <f t="shared" si="46"/>
        <v>601.128</v>
      </c>
      <c r="H269" s="135"/>
    </row>
    <row r="271" customHeight="1" spans="1:8">
      <c r="A271" s="136" t="s">
        <v>156</v>
      </c>
      <c r="B271" s="136"/>
      <c r="C271" s="136"/>
      <c r="D271" s="136"/>
      <c r="E271" s="136"/>
      <c r="F271" s="136"/>
      <c r="G271" s="136"/>
      <c r="H271" s="136"/>
    </row>
    <row r="273" customHeight="1" spans="1:5">
      <c r="A273" s="145" t="s">
        <v>156</v>
      </c>
      <c r="B273" s="146"/>
      <c r="C273" s="146"/>
      <c r="D273" s="146"/>
      <c r="E273" s="147"/>
    </row>
    <row r="274" customHeight="1" spans="1:5">
      <c r="A274" s="199" t="s">
        <v>4</v>
      </c>
      <c r="B274" s="200" t="s">
        <v>214</v>
      </c>
      <c r="C274" s="200" t="s">
        <v>215</v>
      </c>
      <c r="D274" s="200" t="s">
        <v>216</v>
      </c>
      <c r="E274" s="202" t="s">
        <v>155</v>
      </c>
    </row>
    <row r="275" hidden="1" customHeight="1" spans="1:5">
      <c r="A275" s="151" t="s">
        <v>135</v>
      </c>
      <c r="B275" s="152">
        <f ca="1" t="shared" ref="B275:B280" si="47">E114</f>
        <v>0</v>
      </c>
      <c r="C275" s="152">
        <f ca="1" t="shared" ref="C275:C280" si="48">D156</f>
        <v>0</v>
      </c>
      <c r="D275" s="152">
        <f>H264</f>
        <v>-52.1649</v>
      </c>
      <c r="E275" s="160">
        <f ca="1" t="shared" ref="E275:E280" si="49">SUM(B275:D275)</f>
        <v>0</v>
      </c>
    </row>
    <row r="276" hidden="1" customHeight="1" spans="1:5">
      <c r="A276" s="161" t="s">
        <v>136</v>
      </c>
      <c r="B276" s="162">
        <f ca="1" t="shared" si="47"/>
        <v>0</v>
      </c>
      <c r="C276" s="162">
        <f ca="1" t="shared" si="48"/>
        <v>0</v>
      </c>
      <c r="D276" s="162">
        <f>H265</f>
        <v>-46.0929</v>
      </c>
      <c r="E276" s="164">
        <f ca="1" t="shared" si="49"/>
        <v>0</v>
      </c>
    </row>
    <row r="277" customHeight="1" spans="1:5">
      <c r="A277" s="261" t="str">
        <f>A16</f>
        <v>Servente (44h semanais)</v>
      </c>
      <c r="B277" s="262">
        <f t="shared" si="47"/>
        <v>298.750277777778</v>
      </c>
      <c r="C277" s="262">
        <f t="shared" si="48"/>
        <v>675.346342222222</v>
      </c>
      <c r="D277" s="262">
        <f>H266</f>
        <v>962.6945</v>
      </c>
      <c r="E277" s="263">
        <f t="shared" si="49"/>
        <v>1936.79112</v>
      </c>
    </row>
    <row r="278" hidden="1" customHeight="1" spans="1:5">
      <c r="A278" s="141" t="s">
        <v>137</v>
      </c>
      <c r="B278" s="169">
        <f t="shared" si="47"/>
        <v>0</v>
      </c>
      <c r="C278" s="169">
        <f t="shared" si="48"/>
        <v>0</v>
      </c>
      <c r="D278" s="169">
        <f t="shared" ref="D278:D280" si="50">F267</f>
        <v>409.86</v>
      </c>
      <c r="E278" s="142">
        <f t="shared" si="49"/>
        <v>409.86</v>
      </c>
    </row>
    <row r="279" hidden="1" customHeight="1" spans="1:5">
      <c r="A279" s="171" t="s">
        <v>138</v>
      </c>
      <c r="B279" s="172">
        <f t="shared" si="47"/>
        <v>0</v>
      </c>
      <c r="C279" s="172">
        <f t="shared" si="48"/>
        <v>0</v>
      </c>
      <c r="D279" s="172">
        <f t="shared" si="50"/>
        <v>409.86</v>
      </c>
      <c r="E279" s="174">
        <f t="shared" si="49"/>
        <v>409.86</v>
      </c>
    </row>
    <row r="280" hidden="1" customHeight="1" spans="1:8">
      <c r="A280" s="143" t="s">
        <v>139</v>
      </c>
      <c r="B280" s="155">
        <f t="shared" si="47"/>
        <v>0</v>
      </c>
      <c r="C280" s="155">
        <f t="shared" si="48"/>
        <v>0</v>
      </c>
      <c r="D280" s="155">
        <f t="shared" si="50"/>
        <v>601.128</v>
      </c>
      <c r="E280" s="144">
        <f t="shared" si="49"/>
        <v>601.128</v>
      </c>
      <c r="H280" s="135"/>
    </row>
    <row r="282" customHeight="1" spans="1:8">
      <c r="A282" s="136" t="s">
        <v>217</v>
      </c>
      <c r="B282" s="136"/>
      <c r="C282" s="136"/>
      <c r="D282" s="136"/>
      <c r="E282" s="136"/>
      <c r="F282" s="136"/>
      <c r="G282" s="136"/>
      <c r="H282" s="136"/>
    </row>
    <row r="283" ht="53.25" customHeight="1" spans="1:8">
      <c r="A283" s="133" t="s">
        <v>218</v>
      </c>
      <c r="B283" s="133"/>
      <c r="C283" s="133"/>
      <c r="D283" s="133"/>
      <c r="E283" s="133"/>
      <c r="F283" s="133"/>
      <c r="G283" s="133"/>
      <c r="H283" s="133"/>
    </row>
    <row r="285" ht="42.75" customHeight="1" spans="1:2">
      <c r="A285" s="264" t="s">
        <v>219</v>
      </c>
      <c r="B285" s="265"/>
    </row>
    <row r="286" ht="15.75" spans="1:2">
      <c r="A286" s="139" t="s">
        <v>220</v>
      </c>
      <c r="B286" s="140" t="s">
        <v>129</v>
      </c>
    </row>
    <row r="287" ht="31" spans="1:2">
      <c r="A287" s="266" t="s">
        <v>221</v>
      </c>
      <c r="B287" s="267">
        <v>1</v>
      </c>
    </row>
    <row r="288" ht="31" spans="1:2">
      <c r="A288" s="268" t="s">
        <v>222</v>
      </c>
      <c r="B288" s="269">
        <f>B287*45%</f>
        <v>0.45</v>
      </c>
    </row>
    <row r="289" ht="31" spans="1:2">
      <c r="A289" s="268" t="s">
        <v>223</v>
      </c>
      <c r="B289" s="269">
        <f>B287*55%</f>
        <v>0.55</v>
      </c>
    </row>
    <row r="290" ht="32.25" customHeight="1" spans="1:2">
      <c r="A290" s="270" t="s">
        <v>224</v>
      </c>
      <c r="B290" s="271"/>
    </row>
    <row r="291" ht="30" customHeight="1" spans="1:2">
      <c r="A291" s="272" t="s">
        <v>225</v>
      </c>
      <c r="B291" s="273"/>
    </row>
    <row r="292" customHeight="1" spans="1:8">
      <c r="A292" s="139" t="s">
        <v>72</v>
      </c>
      <c r="B292" s="274">
        <f>SUM(B288:B291)</f>
        <v>1</v>
      </c>
      <c r="H292" s="135"/>
    </row>
    <row r="294" customHeight="1" spans="1:8">
      <c r="A294" s="137" t="s">
        <v>226</v>
      </c>
      <c r="B294" s="138"/>
      <c r="C294" s="138"/>
      <c r="D294" s="138"/>
      <c r="E294" s="138"/>
      <c r="F294" s="138"/>
      <c r="G294" s="138"/>
      <c r="H294" s="138"/>
    </row>
    <row r="295" ht="106.5" customHeight="1" spans="1:8">
      <c r="A295" s="133" t="s">
        <v>227</v>
      </c>
      <c r="B295" s="133"/>
      <c r="C295" s="133"/>
      <c r="D295" s="133"/>
      <c r="E295" s="133"/>
      <c r="F295" s="133"/>
      <c r="G295" s="133"/>
      <c r="H295" s="133"/>
    </row>
    <row r="296" ht="15.25"/>
    <row r="297" customHeight="1" spans="1:4">
      <c r="A297" s="139" t="s">
        <v>228</v>
      </c>
      <c r="B297" s="158"/>
      <c r="C297" s="158"/>
      <c r="D297" s="140"/>
    </row>
    <row r="298" ht="30" customHeight="1" spans="1:4">
      <c r="A298" s="199" t="s">
        <v>4</v>
      </c>
      <c r="B298" s="200" t="s">
        <v>128</v>
      </c>
      <c r="C298" s="201" t="s">
        <v>159</v>
      </c>
      <c r="D298" s="202" t="s">
        <v>134</v>
      </c>
    </row>
    <row r="299" hidden="1" customHeight="1" spans="1:4">
      <c r="A299" s="151" t="s">
        <v>135</v>
      </c>
      <c r="B299" s="152">
        <f ca="1">F74+(E275-D138)</f>
        <v>0</v>
      </c>
      <c r="C299" s="179">
        <v>12</v>
      </c>
      <c r="D299" s="160">
        <f ca="1">B299/C299</f>
        <v>0</v>
      </c>
    </row>
    <row r="300" hidden="1" customHeight="1" spans="1:4">
      <c r="A300" s="161" t="s">
        <v>136</v>
      </c>
      <c r="B300" s="162">
        <f ca="1">F75+(E276-D139)</f>
        <v>0</v>
      </c>
      <c r="C300" s="275">
        <f>C299</f>
        <v>12</v>
      </c>
      <c r="D300" s="164">
        <f ca="1" t="shared" ref="D300:D304" si="51">B300/C300</f>
        <v>0</v>
      </c>
    </row>
    <row r="301" customHeight="1" spans="1:4">
      <c r="A301" s="276" t="str">
        <f>A16</f>
        <v>Servente (44h semanais)</v>
      </c>
      <c r="B301" s="262">
        <f>F76+(E277-D140)</f>
        <v>2944.6892</v>
      </c>
      <c r="C301" s="277">
        <f>C300</f>
        <v>12</v>
      </c>
      <c r="D301" s="263">
        <f t="shared" si="51"/>
        <v>245.390766666667</v>
      </c>
    </row>
    <row r="302" hidden="1" customHeight="1" spans="1:4">
      <c r="A302" s="141" t="s">
        <v>137</v>
      </c>
      <c r="B302" s="169">
        <f>G77+(E278-D141)</f>
        <v>409.86</v>
      </c>
      <c r="C302" s="193">
        <f>C301</f>
        <v>12</v>
      </c>
      <c r="D302" s="142">
        <f t="shared" si="51"/>
        <v>34.155</v>
      </c>
    </row>
    <row r="303" hidden="1" customHeight="1" spans="1:4">
      <c r="A303" s="171" t="s">
        <v>138</v>
      </c>
      <c r="B303" s="172">
        <f>G78+(E279-D142)</f>
        <v>409.86</v>
      </c>
      <c r="C303" s="181">
        <f>C302</f>
        <v>12</v>
      </c>
      <c r="D303" s="174">
        <f t="shared" si="51"/>
        <v>34.155</v>
      </c>
    </row>
    <row r="304" ht="33" hidden="1" customHeight="1" spans="1:4">
      <c r="A304" s="143" t="s">
        <v>139</v>
      </c>
      <c r="B304" s="155">
        <f>G79+(E280-D143)</f>
        <v>601.128</v>
      </c>
      <c r="C304" s="183">
        <f>C303</f>
        <v>12</v>
      </c>
      <c r="D304" s="144">
        <f t="shared" si="51"/>
        <v>50.094</v>
      </c>
    </row>
    <row r="305" ht="15.25"/>
    <row r="306" ht="25.5" customHeight="1" spans="1:5">
      <c r="A306" s="209" t="s">
        <v>229</v>
      </c>
      <c r="B306" s="210"/>
      <c r="C306" s="210"/>
      <c r="D306" s="211"/>
      <c r="E306" s="72"/>
    </row>
    <row r="307" ht="28.5" customHeight="1" spans="1:4">
      <c r="A307" s="199" t="s">
        <v>4</v>
      </c>
      <c r="B307" s="200" t="s">
        <v>128</v>
      </c>
      <c r="C307" s="278" t="s">
        <v>230</v>
      </c>
      <c r="D307" s="202" t="s">
        <v>134</v>
      </c>
    </row>
    <row r="308" hidden="1" customHeight="1" spans="1:4">
      <c r="A308" s="151" t="s">
        <v>135</v>
      </c>
      <c r="B308" s="152">
        <f ca="1" t="shared" ref="B308:B313" si="52">D147</f>
        <v>0</v>
      </c>
      <c r="C308" s="159">
        <v>0.5</v>
      </c>
      <c r="D308" s="160">
        <f ca="1">B308*C308</f>
        <v>0</v>
      </c>
    </row>
    <row r="309" hidden="1" customHeight="1" spans="1:4">
      <c r="A309" s="161" t="s">
        <v>136</v>
      </c>
      <c r="B309" s="162">
        <f ca="1" t="shared" si="52"/>
        <v>0</v>
      </c>
      <c r="C309" s="163">
        <v>0.5</v>
      </c>
      <c r="D309" s="164">
        <f ca="1" t="shared" ref="D309:D313" si="53">B309*C309</f>
        <v>0</v>
      </c>
    </row>
    <row r="310" customHeight="1" spans="1:4">
      <c r="A310" s="276" t="str">
        <f>A16</f>
        <v>Servente (44h semanais)</v>
      </c>
      <c r="B310" s="262">
        <f t="shared" si="52"/>
        <v>146.814422222222</v>
      </c>
      <c r="C310" s="279">
        <v>0.4</v>
      </c>
      <c r="D310" s="263">
        <f t="shared" si="53"/>
        <v>58.7257688888889</v>
      </c>
    </row>
    <row r="311" hidden="1" customHeight="1" spans="1:4">
      <c r="A311" s="141" t="s">
        <v>137</v>
      </c>
      <c r="B311" s="169">
        <f t="shared" si="52"/>
        <v>0</v>
      </c>
      <c r="C311" s="170">
        <v>0.5</v>
      </c>
      <c r="D311" s="142">
        <f t="shared" si="53"/>
        <v>0</v>
      </c>
    </row>
    <row r="312" hidden="1" customHeight="1" spans="1:4">
      <c r="A312" s="171" t="s">
        <v>138</v>
      </c>
      <c r="B312" s="172">
        <f t="shared" si="52"/>
        <v>0</v>
      </c>
      <c r="C312" s="173">
        <v>0.5</v>
      </c>
      <c r="D312" s="174">
        <f t="shared" si="53"/>
        <v>0</v>
      </c>
    </row>
    <row r="313" hidden="1" customHeight="1" spans="1:4">
      <c r="A313" s="143" t="s">
        <v>139</v>
      </c>
      <c r="B313" s="155">
        <f t="shared" si="52"/>
        <v>0</v>
      </c>
      <c r="C313" s="175">
        <v>0.5</v>
      </c>
      <c r="D313" s="144">
        <f t="shared" si="53"/>
        <v>0</v>
      </c>
    </row>
    <row r="315" customHeight="1" spans="1:4">
      <c r="A315" s="139" t="s">
        <v>231</v>
      </c>
      <c r="B315" s="158"/>
      <c r="C315" s="158"/>
      <c r="D315" s="140"/>
    </row>
    <row r="316" customHeight="1" spans="1:4">
      <c r="A316" s="199" t="s">
        <v>4</v>
      </c>
      <c r="B316" s="200" t="s">
        <v>128</v>
      </c>
      <c r="C316" s="200" t="s">
        <v>129</v>
      </c>
      <c r="D316" s="202" t="s">
        <v>134</v>
      </c>
    </row>
    <row r="317" hidden="1" customHeight="1" spans="1:4">
      <c r="A317" s="151" t="s">
        <v>135</v>
      </c>
      <c r="B317" s="152">
        <f ca="1">D299+D308</f>
        <v>0</v>
      </c>
      <c r="C317" s="203">
        <f>$B$288</f>
        <v>0.45</v>
      </c>
      <c r="D317" s="160">
        <f ca="1">B317*C317</f>
        <v>0</v>
      </c>
    </row>
    <row r="318" hidden="1" customHeight="1" spans="1:4">
      <c r="A318" s="161" t="s">
        <v>136</v>
      </c>
      <c r="B318" s="162">
        <f ca="1" t="shared" ref="B318:B322" si="54">D300+D309</f>
        <v>0</v>
      </c>
      <c r="C318" s="204">
        <f t="shared" ref="C318:C322" si="55">$B$288</f>
        <v>0.45</v>
      </c>
      <c r="D318" s="164">
        <f ca="1" t="shared" ref="D318:D322" si="56">B318*C318</f>
        <v>0</v>
      </c>
    </row>
    <row r="319" customHeight="1" spans="1:4">
      <c r="A319" s="276" t="str">
        <f>A16</f>
        <v>Servente (44h semanais)</v>
      </c>
      <c r="B319" s="262">
        <f t="shared" si="54"/>
        <v>304.116535555556</v>
      </c>
      <c r="C319" s="280">
        <f t="shared" si="55"/>
        <v>0.45</v>
      </c>
      <c r="D319" s="263">
        <f t="shared" si="56"/>
        <v>136.852441</v>
      </c>
    </row>
    <row r="320" hidden="1" customHeight="1" spans="1:4">
      <c r="A320" s="141" t="s">
        <v>137</v>
      </c>
      <c r="B320" s="169">
        <f t="shared" si="54"/>
        <v>34.155</v>
      </c>
      <c r="C320" s="206">
        <f t="shared" si="55"/>
        <v>0.45</v>
      </c>
      <c r="D320" s="142">
        <f t="shared" si="56"/>
        <v>15.36975</v>
      </c>
    </row>
    <row r="321" hidden="1" customHeight="1" spans="1:4">
      <c r="A321" s="171" t="s">
        <v>138</v>
      </c>
      <c r="B321" s="172">
        <f t="shared" si="54"/>
        <v>34.155</v>
      </c>
      <c r="C321" s="207">
        <f t="shared" si="55"/>
        <v>0.45</v>
      </c>
      <c r="D321" s="174">
        <f t="shared" si="56"/>
        <v>15.36975</v>
      </c>
    </row>
    <row r="322" hidden="1" customHeight="1" spans="1:8">
      <c r="A322" s="143" t="s">
        <v>139</v>
      </c>
      <c r="B322" s="155">
        <f t="shared" si="54"/>
        <v>50.094</v>
      </c>
      <c r="C322" s="208">
        <f t="shared" si="55"/>
        <v>0.45</v>
      </c>
      <c r="D322" s="144">
        <f t="shared" si="56"/>
        <v>22.5423</v>
      </c>
      <c r="H322" s="135"/>
    </row>
    <row r="324" customHeight="1" spans="1:8">
      <c r="A324" s="137" t="s">
        <v>232</v>
      </c>
      <c r="B324" s="138"/>
      <c r="C324" s="138"/>
      <c r="D324" s="138"/>
      <c r="E324" s="138"/>
      <c r="F324" s="138"/>
      <c r="G324" s="138"/>
      <c r="H324" s="138"/>
    </row>
    <row r="325" ht="101.25" customHeight="1" spans="1:8">
      <c r="A325" s="133" t="s">
        <v>233</v>
      </c>
      <c r="B325" s="133"/>
      <c r="C325" s="133"/>
      <c r="D325" s="133"/>
      <c r="E325" s="133"/>
      <c r="F325" s="133"/>
      <c r="G325" s="133"/>
      <c r="H325" s="133"/>
    </row>
    <row r="326" ht="15.25"/>
    <row r="327" customHeight="1" spans="1:4">
      <c r="A327" s="139" t="s">
        <v>234</v>
      </c>
      <c r="B327" s="158"/>
      <c r="C327" s="158"/>
      <c r="D327" s="140"/>
    </row>
    <row r="328" ht="33" customHeight="1" spans="1:4">
      <c r="A328" s="199" t="s">
        <v>4</v>
      </c>
      <c r="B328" s="200" t="s">
        <v>128</v>
      </c>
      <c r="C328" s="201" t="s">
        <v>159</v>
      </c>
      <c r="D328" s="202" t="s">
        <v>134</v>
      </c>
    </row>
    <row r="329" hidden="1" customHeight="1" spans="1:4">
      <c r="A329" s="151" t="s">
        <v>135</v>
      </c>
      <c r="B329" s="152">
        <f ca="1">F74+E275</f>
        <v>0</v>
      </c>
      <c r="C329" s="179">
        <v>12</v>
      </c>
      <c r="D329" s="160">
        <f ca="1">B329/C329</f>
        <v>0</v>
      </c>
    </row>
    <row r="330" hidden="1" customHeight="1" spans="1:4">
      <c r="A330" s="161" t="s">
        <v>136</v>
      </c>
      <c r="B330" s="162">
        <f ca="1">F75+E276</f>
        <v>0</v>
      </c>
      <c r="C330" s="275">
        <v>12</v>
      </c>
      <c r="D330" s="164">
        <f ca="1" t="shared" ref="D330:D334" si="57">B330/C330</f>
        <v>0</v>
      </c>
    </row>
    <row r="331" customHeight="1" spans="1:4">
      <c r="A331" s="276" t="str">
        <f>A16</f>
        <v>Servente (44h semanais)</v>
      </c>
      <c r="B331" s="262">
        <f>F76+E277</f>
        <v>3473.22112</v>
      </c>
      <c r="C331" s="277">
        <v>12</v>
      </c>
      <c r="D331" s="263">
        <f t="shared" si="57"/>
        <v>289.435093333333</v>
      </c>
    </row>
    <row r="332" hidden="1" customHeight="1" spans="1:4">
      <c r="A332" s="141" t="s">
        <v>137</v>
      </c>
      <c r="B332" s="169">
        <f>G77+E278</f>
        <v>409.86</v>
      </c>
      <c r="C332" s="193">
        <v>12</v>
      </c>
      <c r="D332" s="142">
        <f t="shared" si="57"/>
        <v>34.155</v>
      </c>
    </row>
    <row r="333" hidden="1" customHeight="1" spans="1:4">
      <c r="A333" s="171" t="s">
        <v>138</v>
      </c>
      <c r="B333" s="172">
        <f>G78+E279</f>
        <v>409.86</v>
      </c>
      <c r="C333" s="181">
        <v>12</v>
      </c>
      <c r="D333" s="174">
        <f t="shared" si="57"/>
        <v>34.155</v>
      </c>
    </row>
    <row r="334" ht="36.75" hidden="1" customHeight="1" spans="1:4">
      <c r="A334" s="143" t="s">
        <v>139</v>
      </c>
      <c r="B334" s="155">
        <f>G79+E280</f>
        <v>601.128</v>
      </c>
      <c r="C334" s="183">
        <v>12</v>
      </c>
      <c r="D334" s="144">
        <f t="shared" si="57"/>
        <v>50.094</v>
      </c>
    </row>
    <row r="335" ht="15.25"/>
    <row r="336" ht="31.5" customHeight="1" spans="1:4">
      <c r="A336" s="209" t="s">
        <v>235</v>
      </c>
      <c r="B336" s="210"/>
      <c r="C336" s="210"/>
      <c r="D336" s="211"/>
    </row>
    <row r="337" ht="34.5" customHeight="1" spans="1:4">
      <c r="A337" s="199" t="s">
        <v>4</v>
      </c>
      <c r="B337" s="200" t="s">
        <v>128</v>
      </c>
      <c r="C337" s="278" t="s">
        <v>230</v>
      </c>
      <c r="D337" s="202" t="s">
        <v>134</v>
      </c>
    </row>
    <row r="338" hidden="1" customHeight="1" spans="1:4">
      <c r="A338" s="151" t="s">
        <v>135</v>
      </c>
      <c r="B338" s="152">
        <f ca="1" t="shared" ref="B338:B343" si="58">D147</f>
        <v>0</v>
      </c>
      <c r="C338" s="159">
        <v>0.5</v>
      </c>
      <c r="D338" s="160">
        <f ca="1">B338*C338</f>
        <v>0</v>
      </c>
    </row>
    <row r="339" hidden="1" customHeight="1" spans="1:4">
      <c r="A339" s="161" t="s">
        <v>136</v>
      </c>
      <c r="B339" s="162">
        <f ca="1" t="shared" si="58"/>
        <v>0</v>
      </c>
      <c r="C339" s="163">
        <v>0.5</v>
      </c>
      <c r="D339" s="164">
        <f ca="1" t="shared" ref="D339:D343" si="59">B339*C339</f>
        <v>0</v>
      </c>
    </row>
    <row r="340" customHeight="1" spans="1:4">
      <c r="A340" s="276" t="str">
        <f>A16</f>
        <v>Servente (44h semanais)</v>
      </c>
      <c r="B340" s="262">
        <f t="shared" si="58"/>
        <v>146.814422222222</v>
      </c>
      <c r="C340" s="279">
        <v>0.4</v>
      </c>
      <c r="D340" s="263">
        <f t="shared" si="59"/>
        <v>58.7257688888889</v>
      </c>
    </row>
    <row r="341" hidden="1" customHeight="1" spans="1:4">
      <c r="A341" s="141" t="s">
        <v>137</v>
      </c>
      <c r="B341" s="169">
        <f t="shared" si="58"/>
        <v>0</v>
      </c>
      <c r="C341" s="170">
        <v>0.5</v>
      </c>
      <c r="D341" s="142">
        <f t="shared" si="59"/>
        <v>0</v>
      </c>
    </row>
    <row r="342" hidden="1" customHeight="1" spans="1:4">
      <c r="A342" s="171" t="s">
        <v>138</v>
      </c>
      <c r="B342" s="172">
        <f t="shared" si="58"/>
        <v>0</v>
      </c>
      <c r="C342" s="173">
        <v>0.5</v>
      </c>
      <c r="D342" s="174">
        <f t="shared" si="59"/>
        <v>0</v>
      </c>
    </row>
    <row r="343" hidden="1" customHeight="1" spans="1:4">
      <c r="A343" s="143" t="s">
        <v>139</v>
      </c>
      <c r="B343" s="155">
        <f t="shared" si="58"/>
        <v>0</v>
      </c>
      <c r="C343" s="175">
        <v>0.5</v>
      </c>
      <c r="D343" s="144">
        <f t="shared" si="59"/>
        <v>0</v>
      </c>
    </row>
    <row r="345" customHeight="1" spans="1:4">
      <c r="A345" s="139" t="s">
        <v>236</v>
      </c>
      <c r="B345" s="158"/>
      <c r="C345" s="158"/>
      <c r="D345" s="140"/>
    </row>
    <row r="346" customHeight="1" spans="1:4">
      <c r="A346" s="199" t="s">
        <v>4</v>
      </c>
      <c r="B346" s="200" t="s">
        <v>128</v>
      </c>
      <c r="C346" s="200" t="s">
        <v>129</v>
      </c>
      <c r="D346" s="202" t="s">
        <v>134</v>
      </c>
    </row>
    <row r="347" hidden="1" customHeight="1" spans="1:4">
      <c r="A347" s="151" t="s">
        <v>135</v>
      </c>
      <c r="B347" s="152">
        <f ca="1">D329+D338</f>
        <v>0</v>
      </c>
      <c r="C347" s="203">
        <f>$B$289</f>
        <v>0.55</v>
      </c>
      <c r="D347" s="160">
        <f ca="1">B347*C347</f>
        <v>0</v>
      </c>
    </row>
    <row r="348" hidden="1" customHeight="1" spans="1:4">
      <c r="A348" s="171" t="s">
        <v>136</v>
      </c>
      <c r="B348" s="172">
        <f ca="1" t="shared" ref="B348:B352" si="60">D330+D339</f>
        <v>0</v>
      </c>
      <c r="C348" s="207">
        <f t="shared" ref="C348:C352" si="61">$B$289</f>
        <v>0.55</v>
      </c>
      <c r="D348" s="174">
        <f ca="1" t="shared" ref="D348:D352" si="62">B348*C348</f>
        <v>0</v>
      </c>
    </row>
    <row r="349" customHeight="1" spans="1:4">
      <c r="A349" s="143" t="str">
        <f>A16</f>
        <v>Servente (44h semanais)</v>
      </c>
      <c r="B349" s="155">
        <f t="shared" si="60"/>
        <v>348.160862222222</v>
      </c>
      <c r="C349" s="208">
        <f t="shared" si="61"/>
        <v>0.55</v>
      </c>
      <c r="D349" s="144">
        <f t="shared" si="62"/>
        <v>191.488474222222</v>
      </c>
    </row>
    <row r="350" hidden="1" customHeight="1" spans="1:4">
      <c r="A350" s="151" t="s">
        <v>137</v>
      </c>
      <c r="B350" s="152">
        <f t="shared" si="60"/>
        <v>34.155</v>
      </c>
      <c r="C350" s="203">
        <f t="shared" si="61"/>
        <v>0.55</v>
      </c>
      <c r="D350" s="160">
        <f t="shared" si="62"/>
        <v>18.78525</v>
      </c>
    </row>
    <row r="351" hidden="1" customHeight="1" spans="1:4">
      <c r="A351" s="171" t="s">
        <v>138</v>
      </c>
      <c r="B351" s="172">
        <f t="shared" si="60"/>
        <v>34.155</v>
      </c>
      <c r="C351" s="207">
        <f t="shared" si="61"/>
        <v>0.55</v>
      </c>
      <c r="D351" s="174">
        <f t="shared" si="62"/>
        <v>18.78525</v>
      </c>
    </row>
    <row r="352" hidden="1" customHeight="1" spans="1:8">
      <c r="A352" s="143" t="s">
        <v>139</v>
      </c>
      <c r="B352" s="155">
        <f t="shared" si="60"/>
        <v>50.094</v>
      </c>
      <c r="C352" s="208">
        <f t="shared" si="61"/>
        <v>0.55</v>
      </c>
      <c r="D352" s="144">
        <f t="shared" si="62"/>
        <v>27.5517</v>
      </c>
      <c r="H352" s="135"/>
    </row>
    <row r="354" customHeight="1" spans="1:8">
      <c r="A354" s="137" t="s">
        <v>237</v>
      </c>
      <c r="B354" s="138"/>
      <c r="C354" s="138"/>
      <c r="D354" s="138"/>
      <c r="E354" s="138"/>
      <c r="F354" s="138"/>
      <c r="G354" s="138"/>
      <c r="H354" s="138"/>
    </row>
    <row r="355" ht="75" customHeight="1" spans="1:8">
      <c r="A355" s="281" t="s">
        <v>238</v>
      </c>
      <c r="B355" s="281"/>
      <c r="C355" s="281"/>
      <c r="D355" s="281"/>
      <c r="E355" s="281"/>
      <c r="F355" s="281"/>
      <c r="G355" s="281"/>
      <c r="H355" s="281"/>
    </row>
    <row r="356" ht="20.25" customHeight="1"/>
    <row r="357" customHeight="1" spans="1:5">
      <c r="A357" s="145" t="s">
        <v>239</v>
      </c>
      <c r="B357" s="146"/>
      <c r="C357" s="146"/>
      <c r="D357" s="146"/>
      <c r="E357" s="147"/>
    </row>
    <row r="358" ht="46.5" customHeight="1" spans="1:5">
      <c r="A358" s="199" t="s">
        <v>4</v>
      </c>
      <c r="B358" s="201" t="s">
        <v>240</v>
      </c>
      <c r="C358" s="201" t="s">
        <v>241</v>
      </c>
      <c r="D358" s="201" t="s">
        <v>242</v>
      </c>
      <c r="E358" s="202" t="s">
        <v>134</v>
      </c>
    </row>
    <row r="359" hidden="1" customHeight="1" spans="1:5">
      <c r="A359" s="151" t="s">
        <v>135</v>
      </c>
      <c r="B359" s="282">
        <f ca="1" t="shared" ref="B359:B364" si="63">-D87</f>
        <v>0</v>
      </c>
      <c r="C359" s="282">
        <f ca="1" t="shared" ref="C359:C364" si="64">-D96</f>
        <v>0</v>
      </c>
      <c r="D359" s="282">
        <f ca="1" t="shared" ref="D359:D364" si="65">-E105</f>
        <v>0</v>
      </c>
      <c r="E359" s="283">
        <f ca="1" t="shared" ref="E359:E364" si="66">SUM(B359:D359)</f>
        <v>0</v>
      </c>
    </row>
    <row r="360" hidden="1" customHeight="1" spans="1:5">
      <c r="A360" s="161" t="s">
        <v>136</v>
      </c>
      <c r="B360" s="284">
        <f ca="1" t="shared" si="63"/>
        <v>0</v>
      </c>
      <c r="C360" s="284">
        <f ca="1" t="shared" si="64"/>
        <v>0</v>
      </c>
      <c r="D360" s="284">
        <f ca="1" t="shared" si="65"/>
        <v>0</v>
      </c>
      <c r="E360" s="285">
        <f ca="1" t="shared" si="66"/>
        <v>0</v>
      </c>
    </row>
    <row r="361" customHeight="1" spans="1:5">
      <c r="A361" s="276" t="str">
        <f>A16</f>
        <v>Servente (44h semanais)</v>
      </c>
      <c r="B361" s="286">
        <f t="shared" si="63"/>
        <v>-128.035833333333</v>
      </c>
      <c r="C361" s="286">
        <f t="shared" si="64"/>
        <v>-128.035833333333</v>
      </c>
      <c r="D361" s="286">
        <f t="shared" si="65"/>
        <v>-42.6786111111111</v>
      </c>
      <c r="E361" s="287">
        <f t="shared" si="66"/>
        <v>-298.750277777778</v>
      </c>
    </row>
    <row r="362" hidden="1" customHeight="1" spans="1:5">
      <c r="A362" s="141" t="s">
        <v>137</v>
      </c>
      <c r="B362" s="288">
        <f t="shared" si="63"/>
        <v>0</v>
      </c>
      <c r="C362" s="288">
        <f t="shared" si="64"/>
        <v>0</v>
      </c>
      <c r="D362" s="288">
        <f t="shared" si="65"/>
        <v>0</v>
      </c>
      <c r="E362" s="289">
        <f t="shared" si="66"/>
        <v>0</v>
      </c>
    </row>
    <row r="363" hidden="1" customHeight="1" spans="1:5">
      <c r="A363" s="171" t="s">
        <v>138</v>
      </c>
      <c r="B363" s="290">
        <f t="shared" si="63"/>
        <v>0</v>
      </c>
      <c r="C363" s="290">
        <f t="shared" si="64"/>
        <v>0</v>
      </c>
      <c r="D363" s="290">
        <f t="shared" si="65"/>
        <v>0</v>
      </c>
      <c r="E363" s="291">
        <f t="shared" si="66"/>
        <v>0</v>
      </c>
    </row>
    <row r="364" hidden="1" customHeight="1" spans="1:5">
      <c r="A364" s="143" t="s">
        <v>139</v>
      </c>
      <c r="B364" s="292">
        <f t="shared" si="63"/>
        <v>0</v>
      </c>
      <c r="C364" s="292">
        <f t="shared" si="64"/>
        <v>0</v>
      </c>
      <c r="D364" s="292">
        <f t="shared" si="65"/>
        <v>0</v>
      </c>
      <c r="E364" s="293">
        <f t="shared" si="66"/>
        <v>0</v>
      </c>
    </row>
    <row r="366" customHeight="1" spans="1:4">
      <c r="A366" s="139" t="s">
        <v>243</v>
      </c>
      <c r="B366" s="158"/>
      <c r="C366" s="158"/>
      <c r="D366" s="140"/>
    </row>
    <row r="367" customHeight="1" spans="1:4">
      <c r="A367" s="199" t="s">
        <v>4</v>
      </c>
      <c r="B367" s="200" t="s">
        <v>142</v>
      </c>
      <c r="C367" s="200" t="s">
        <v>129</v>
      </c>
      <c r="D367" s="202" t="s">
        <v>134</v>
      </c>
    </row>
    <row r="368" hidden="1" customHeight="1" spans="1:4">
      <c r="A368" s="151" t="s">
        <v>135</v>
      </c>
      <c r="B368" s="282">
        <f ca="1" t="shared" ref="B368:B373" si="67">E359</f>
        <v>0</v>
      </c>
      <c r="C368" s="203">
        <f>$B$290</f>
        <v>0</v>
      </c>
      <c r="D368" s="283">
        <f ca="1">B368*C368</f>
        <v>0</v>
      </c>
    </row>
    <row r="369" hidden="1" customHeight="1" spans="1:4">
      <c r="A369" s="171" t="s">
        <v>136</v>
      </c>
      <c r="B369" s="290">
        <f ca="1" t="shared" si="67"/>
        <v>0</v>
      </c>
      <c r="C369" s="207">
        <f t="shared" ref="C369:C373" si="68">$B$290</f>
        <v>0</v>
      </c>
      <c r="D369" s="291">
        <f ca="1" t="shared" ref="D369:D373" si="69">B369*C369</f>
        <v>0</v>
      </c>
    </row>
    <row r="370" customHeight="1" spans="1:4">
      <c r="A370" s="143" t="str">
        <f>A16</f>
        <v>Servente (44h semanais)</v>
      </c>
      <c r="B370" s="292">
        <f t="shared" si="67"/>
        <v>-298.750277777778</v>
      </c>
      <c r="C370" s="208">
        <f t="shared" si="68"/>
        <v>0</v>
      </c>
      <c r="D370" s="293">
        <f t="shared" si="69"/>
        <v>0</v>
      </c>
    </row>
    <row r="371" hidden="1" customHeight="1" spans="1:4">
      <c r="A371" s="151" t="s">
        <v>137</v>
      </c>
      <c r="B371" s="282">
        <f t="shared" si="67"/>
        <v>0</v>
      </c>
      <c r="C371" s="203">
        <f t="shared" si="68"/>
        <v>0</v>
      </c>
      <c r="D371" s="283">
        <f t="shared" si="69"/>
        <v>0</v>
      </c>
    </row>
    <row r="372" hidden="1" customHeight="1" spans="1:4">
      <c r="A372" s="171" t="s">
        <v>138</v>
      </c>
      <c r="B372" s="290">
        <f t="shared" si="67"/>
        <v>0</v>
      </c>
      <c r="C372" s="207">
        <f t="shared" si="68"/>
        <v>0</v>
      </c>
      <c r="D372" s="291">
        <f t="shared" si="69"/>
        <v>0</v>
      </c>
    </row>
    <row r="373" hidden="1" customHeight="1" spans="1:8">
      <c r="A373" s="143" t="s">
        <v>139</v>
      </c>
      <c r="B373" s="292">
        <f t="shared" si="67"/>
        <v>0</v>
      </c>
      <c r="C373" s="208">
        <f t="shared" si="68"/>
        <v>0</v>
      </c>
      <c r="D373" s="293">
        <f t="shared" si="69"/>
        <v>0</v>
      </c>
      <c r="H373" s="135"/>
    </row>
    <row r="375" customHeight="1" spans="1:8">
      <c r="A375" s="136" t="s">
        <v>217</v>
      </c>
      <c r="B375" s="136"/>
      <c r="C375" s="136"/>
      <c r="D375" s="136"/>
      <c r="E375" s="136"/>
      <c r="F375" s="136"/>
      <c r="G375" s="136"/>
      <c r="H375" s="136"/>
    </row>
    <row r="377" customHeight="1" spans="1:5">
      <c r="A377" s="145" t="s">
        <v>217</v>
      </c>
      <c r="B377" s="146"/>
      <c r="C377" s="146"/>
      <c r="D377" s="146"/>
      <c r="E377" s="147"/>
    </row>
    <row r="378" customHeight="1" spans="1:5">
      <c r="A378" s="199" t="s">
        <v>4</v>
      </c>
      <c r="B378" s="200" t="s">
        <v>244</v>
      </c>
      <c r="C378" s="200" t="s">
        <v>245</v>
      </c>
      <c r="D378" s="200" t="s">
        <v>246</v>
      </c>
      <c r="E378" s="202" t="s">
        <v>155</v>
      </c>
    </row>
    <row r="379" hidden="1" customHeight="1" spans="1:5">
      <c r="A379" s="151" t="s">
        <v>135</v>
      </c>
      <c r="B379" s="152">
        <f ca="1" t="shared" ref="B379:B384" si="70">D317</f>
        <v>0</v>
      </c>
      <c r="C379" s="152">
        <f ca="1" t="shared" ref="C379:C384" si="71">D347</f>
        <v>0</v>
      </c>
      <c r="D379" s="282">
        <f ca="1">D368</f>
        <v>0</v>
      </c>
      <c r="E379" s="160">
        <f ca="1" t="shared" ref="E379:E384" si="72">SUM(B379:D379)</f>
        <v>0</v>
      </c>
    </row>
    <row r="380" hidden="1" customHeight="1" spans="1:5">
      <c r="A380" s="161" t="s">
        <v>136</v>
      </c>
      <c r="B380" s="162">
        <f ca="1" t="shared" si="70"/>
        <v>0</v>
      </c>
      <c r="C380" s="162">
        <f ca="1" t="shared" si="71"/>
        <v>0</v>
      </c>
      <c r="D380" s="284">
        <f ca="1" t="shared" ref="D380:D384" si="73">D369</f>
        <v>0</v>
      </c>
      <c r="E380" s="164">
        <f ca="1" t="shared" si="72"/>
        <v>0</v>
      </c>
    </row>
    <row r="381" customHeight="1" spans="1:5">
      <c r="A381" s="276" t="str">
        <f>A16</f>
        <v>Servente (44h semanais)</v>
      </c>
      <c r="B381" s="262">
        <f t="shared" si="70"/>
        <v>136.852441</v>
      </c>
      <c r="C381" s="262">
        <f t="shared" si="71"/>
        <v>191.488474222222</v>
      </c>
      <c r="D381" s="286">
        <f t="shared" si="73"/>
        <v>0</v>
      </c>
      <c r="E381" s="263">
        <f t="shared" si="72"/>
        <v>328.340915222222</v>
      </c>
    </row>
    <row r="382" hidden="1" customHeight="1" spans="1:5">
      <c r="A382" s="141" t="s">
        <v>137</v>
      </c>
      <c r="B382" s="169">
        <f t="shared" si="70"/>
        <v>15.36975</v>
      </c>
      <c r="C382" s="169">
        <f t="shared" si="71"/>
        <v>18.78525</v>
      </c>
      <c r="D382" s="288">
        <f t="shared" si="73"/>
        <v>0</v>
      </c>
      <c r="E382" s="142">
        <f t="shared" si="72"/>
        <v>34.155</v>
      </c>
    </row>
    <row r="383" hidden="1" customHeight="1" spans="1:5">
      <c r="A383" s="171" t="s">
        <v>138</v>
      </c>
      <c r="B383" s="172">
        <f t="shared" si="70"/>
        <v>15.36975</v>
      </c>
      <c r="C383" s="172">
        <f t="shared" si="71"/>
        <v>18.78525</v>
      </c>
      <c r="D383" s="290">
        <f t="shared" si="73"/>
        <v>0</v>
      </c>
      <c r="E383" s="174">
        <f t="shared" si="72"/>
        <v>34.155</v>
      </c>
    </row>
    <row r="384" hidden="1" customHeight="1" spans="1:8">
      <c r="A384" s="143" t="s">
        <v>139</v>
      </c>
      <c r="B384" s="155">
        <f t="shared" si="70"/>
        <v>22.5423</v>
      </c>
      <c r="C384" s="155">
        <f t="shared" si="71"/>
        <v>27.5517</v>
      </c>
      <c r="D384" s="292">
        <f t="shared" si="73"/>
        <v>0</v>
      </c>
      <c r="E384" s="144">
        <f t="shared" si="72"/>
        <v>50.094</v>
      </c>
      <c r="H384" s="135"/>
    </row>
    <row r="386" customHeight="1" spans="1:8">
      <c r="A386" s="136" t="s">
        <v>247</v>
      </c>
      <c r="B386" s="136"/>
      <c r="C386" s="136"/>
      <c r="D386" s="136"/>
      <c r="E386" s="136"/>
      <c r="F386" s="136"/>
      <c r="G386" s="136"/>
      <c r="H386" s="136"/>
    </row>
    <row r="387" ht="144" customHeight="1" spans="1:8">
      <c r="A387" s="133" t="s">
        <v>248</v>
      </c>
      <c r="B387" s="133"/>
      <c r="C387" s="133"/>
      <c r="D387" s="133"/>
      <c r="E387" s="133"/>
      <c r="F387" s="133"/>
      <c r="G387" s="133"/>
      <c r="H387" s="133"/>
    </row>
    <row r="389" customHeight="1" spans="1:7">
      <c r="A389" s="209" t="s">
        <v>249</v>
      </c>
      <c r="B389" s="210"/>
      <c r="C389" s="210"/>
      <c r="D389" s="210"/>
      <c r="E389" s="210"/>
      <c r="F389" s="210"/>
      <c r="G389" s="211"/>
    </row>
    <row r="390" ht="15.75" spans="1:7">
      <c r="A390" s="209" t="s">
        <v>250</v>
      </c>
      <c r="B390" s="210"/>
      <c r="C390" s="210"/>
      <c r="D390" s="210"/>
      <c r="E390" s="210"/>
      <c r="F390" s="210"/>
      <c r="G390" s="211"/>
    </row>
    <row r="391" customHeight="1" spans="1:7">
      <c r="A391" s="294" t="s">
        <v>4</v>
      </c>
      <c r="B391" s="294" t="s">
        <v>251</v>
      </c>
      <c r="C391" s="294" t="s">
        <v>252</v>
      </c>
      <c r="D391" s="209" t="s">
        <v>253</v>
      </c>
      <c r="E391" s="211"/>
      <c r="F391" s="209" t="s">
        <v>254</v>
      </c>
      <c r="G391" s="211"/>
    </row>
    <row r="392" ht="31.5" customHeight="1" spans="1:7">
      <c r="A392" s="295"/>
      <c r="B392" s="295"/>
      <c r="C392" s="295"/>
      <c r="D392" s="296" t="s">
        <v>255</v>
      </c>
      <c r="E392" s="296" t="s">
        <v>256</v>
      </c>
      <c r="F392" s="296" t="s">
        <v>255</v>
      </c>
      <c r="G392" s="296" t="s">
        <v>256</v>
      </c>
    </row>
    <row r="393" customHeight="1" spans="1:7">
      <c r="A393" s="297" t="s">
        <v>257</v>
      </c>
      <c r="B393" s="298">
        <v>1</v>
      </c>
      <c r="C393" s="299">
        <v>30</v>
      </c>
      <c r="D393" s="300">
        <v>0.5</v>
      </c>
      <c r="E393" s="301">
        <f t="shared" ref="E393:E404" si="74">(B393*C393)*D393</f>
        <v>15</v>
      </c>
      <c r="F393" s="302">
        <f>(252/365)</f>
        <v>0.69041095890411</v>
      </c>
      <c r="G393" s="301">
        <f t="shared" ref="G393:G404" si="75">(B393*C393)*F393</f>
        <v>20.7123287671233</v>
      </c>
    </row>
    <row r="394" customHeight="1" spans="1:7">
      <c r="A394" s="270" t="s">
        <v>258</v>
      </c>
      <c r="B394" s="303">
        <v>2</v>
      </c>
      <c r="C394" s="304">
        <v>1</v>
      </c>
      <c r="D394" s="305">
        <v>1</v>
      </c>
      <c r="E394" s="306">
        <f t="shared" si="74"/>
        <v>2</v>
      </c>
      <c r="F394" s="307">
        <v>1</v>
      </c>
      <c r="G394" s="306">
        <f t="shared" si="75"/>
        <v>2</v>
      </c>
    </row>
    <row r="395" customHeight="1" spans="1:7">
      <c r="A395" s="270" t="s">
        <v>259</v>
      </c>
      <c r="B395" s="303">
        <v>0.0922</v>
      </c>
      <c r="C395" s="304">
        <v>15</v>
      </c>
      <c r="D395" s="305">
        <v>0.5</v>
      </c>
      <c r="E395" s="306">
        <f t="shared" si="74"/>
        <v>0.6915</v>
      </c>
      <c r="F395" s="307">
        <f>(252/365)</f>
        <v>0.69041095890411</v>
      </c>
      <c r="G395" s="306">
        <f t="shared" si="75"/>
        <v>0.954838356164384</v>
      </c>
    </row>
    <row r="396" customHeight="1" spans="1:7">
      <c r="A396" s="270" t="s">
        <v>260</v>
      </c>
      <c r="B396" s="303">
        <v>1.5172</v>
      </c>
      <c r="C396" s="304">
        <v>5</v>
      </c>
      <c r="D396" s="305">
        <v>0.5</v>
      </c>
      <c r="E396" s="306">
        <f t="shared" si="74"/>
        <v>3.793</v>
      </c>
      <c r="F396" s="307">
        <f>(252/365)</f>
        <v>0.69041095890411</v>
      </c>
      <c r="G396" s="306">
        <f t="shared" si="75"/>
        <v>5.23745753424658</v>
      </c>
    </row>
    <row r="397" customHeight="1" spans="1:7">
      <c r="A397" s="270" t="s">
        <v>261</v>
      </c>
      <c r="B397" s="303">
        <v>1</v>
      </c>
      <c r="C397" s="304">
        <v>2</v>
      </c>
      <c r="D397" s="305">
        <v>1</v>
      </c>
      <c r="E397" s="306">
        <f t="shared" si="74"/>
        <v>2</v>
      </c>
      <c r="F397" s="307">
        <v>1</v>
      </c>
      <c r="G397" s="306">
        <f t="shared" si="75"/>
        <v>2</v>
      </c>
    </row>
    <row r="398" customHeight="1" spans="1:7">
      <c r="A398" s="270" t="s">
        <v>262</v>
      </c>
      <c r="B398" s="303">
        <v>1</v>
      </c>
      <c r="C398" s="304">
        <v>2</v>
      </c>
      <c r="D398" s="305">
        <v>0.5</v>
      </c>
      <c r="E398" s="306">
        <f t="shared" si="74"/>
        <v>1</v>
      </c>
      <c r="F398" s="307">
        <f>(252/365)</f>
        <v>0.69041095890411</v>
      </c>
      <c r="G398" s="306">
        <f t="shared" si="75"/>
        <v>1.38082191780822</v>
      </c>
    </row>
    <row r="399" customHeight="1" spans="1:7">
      <c r="A399" s="270" t="s">
        <v>263</v>
      </c>
      <c r="B399" s="303">
        <v>0.0118</v>
      </c>
      <c r="C399" s="304">
        <v>3</v>
      </c>
      <c r="D399" s="305">
        <v>0.5</v>
      </c>
      <c r="E399" s="306">
        <f t="shared" si="74"/>
        <v>0.0177</v>
      </c>
      <c r="F399" s="307">
        <v>1</v>
      </c>
      <c r="G399" s="306">
        <f t="shared" si="75"/>
        <v>0.0354</v>
      </c>
    </row>
    <row r="400" customHeight="1" spans="1:7">
      <c r="A400" s="270" t="s">
        <v>264</v>
      </c>
      <c r="B400" s="303">
        <v>0.02</v>
      </c>
      <c r="C400" s="304">
        <v>1</v>
      </c>
      <c r="D400" s="305">
        <v>1</v>
      </c>
      <c r="E400" s="306">
        <f t="shared" si="74"/>
        <v>0.02</v>
      </c>
      <c r="F400" s="307">
        <v>1</v>
      </c>
      <c r="G400" s="306">
        <f t="shared" si="75"/>
        <v>0.02</v>
      </c>
    </row>
    <row r="401" customHeight="1" spans="1:7">
      <c r="A401" s="270" t="s">
        <v>265</v>
      </c>
      <c r="B401" s="303">
        <v>0.004</v>
      </c>
      <c r="C401" s="304">
        <v>1</v>
      </c>
      <c r="D401" s="305">
        <v>1</v>
      </c>
      <c r="E401" s="306">
        <f t="shared" si="74"/>
        <v>0.004</v>
      </c>
      <c r="F401" s="307">
        <v>1</v>
      </c>
      <c r="G401" s="306">
        <f t="shared" si="75"/>
        <v>0.004</v>
      </c>
    </row>
    <row r="402" customHeight="1" spans="1:7">
      <c r="A402" s="270" t="s">
        <v>266</v>
      </c>
      <c r="B402" s="303">
        <v>0.0143</v>
      </c>
      <c r="C402" s="304">
        <v>20</v>
      </c>
      <c r="D402" s="305">
        <v>0.5</v>
      </c>
      <c r="E402" s="306">
        <f t="shared" si="74"/>
        <v>0.143</v>
      </c>
      <c r="F402" s="307">
        <f>(252/365)</f>
        <v>0.69041095890411</v>
      </c>
      <c r="G402" s="306">
        <f t="shared" si="75"/>
        <v>0.197457534246575</v>
      </c>
    </row>
    <row r="403" customHeight="1" spans="1:7">
      <c r="A403" s="270" t="s">
        <v>267</v>
      </c>
      <c r="B403" s="303">
        <v>0.0197</v>
      </c>
      <c r="C403" s="304">
        <v>180</v>
      </c>
      <c r="D403" s="305">
        <v>0.5</v>
      </c>
      <c r="E403" s="306">
        <f t="shared" si="74"/>
        <v>1.773</v>
      </c>
      <c r="F403" s="307">
        <f>(252/365)</f>
        <v>0.69041095890411</v>
      </c>
      <c r="G403" s="306">
        <f t="shared" si="75"/>
        <v>2.44819726027397</v>
      </c>
    </row>
    <row r="404" customHeight="1" spans="1:7">
      <c r="A404" s="308" t="s">
        <v>268</v>
      </c>
      <c r="B404" s="309">
        <v>0.0016</v>
      </c>
      <c r="C404" s="310">
        <v>6</v>
      </c>
      <c r="D404" s="311">
        <v>1</v>
      </c>
      <c r="E404" s="312">
        <f t="shared" si="74"/>
        <v>0.0096</v>
      </c>
      <c r="F404" s="313">
        <v>1</v>
      </c>
      <c r="G404" s="312">
        <f t="shared" si="75"/>
        <v>0.0096</v>
      </c>
    </row>
    <row r="406" customHeight="1" spans="1:4">
      <c r="A406" s="197" t="s">
        <v>269</v>
      </c>
      <c r="B406" s="314"/>
      <c r="C406" s="314"/>
      <c r="D406" s="315"/>
    </row>
    <row r="407" customHeight="1" spans="1:4">
      <c r="A407" s="316" t="s">
        <v>270</v>
      </c>
      <c r="B407" s="197" t="s">
        <v>271</v>
      </c>
      <c r="C407" s="314"/>
      <c r="D407" s="315"/>
    </row>
    <row r="408" ht="26.25" customHeight="1" spans="1:4">
      <c r="A408" s="317"/>
      <c r="B408" s="197" t="s">
        <v>272</v>
      </c>
      <c r="C408" s="314" t="s">
        <v>273</v>
      </c>
      <c r="D408" s="315" t="s">
        <v>274</v>
      </c>
    </row>
    <row r="409" customHeight="1" spans="1:4">
      <c r="A409" s="297" t="s">
        <v>257</v>
      </c>
      <c r="B409" s="318">
        <f t="shared" ref="B409:B420" si="76">E393</f>
        <v>15</v>
      </c>
      <c r="C409" s="318">
        <f t="shared" ref="C409:C420" si="77">E393</f>
        <v>15</v>
      </c>
      <c r="D409" s="319">
        <f t="shared" ref="D409:D420" si="78">G393</f>
        <v>20.7123287671233</v>
      </c>
    </row>
    <row r="410" customHeight="1" spans="1:4">
      <c r="A410" s="270" t="s">
        <v>258</v>
      </c>
      <c r="B410" s="320">
        <f t="shared" si="76"/>
        <v>2</v>
      </c>
      <c r="C410" s="320">
        <f t="shared" si="77"/>
        <v>2</v>
      </c>
      <c r="D410" s="321">
        <f t="shared" si="78"/>
        <v>2</v>
      </c>
    </row>
    <row r="411" customHeight="1" spans="1:4">
      <c r="A411" s="270" t="s">
        <v>259</v>
      </c>
      <c r="B411" s="320">
        <f t="shared" si="76"/>
        <v>0.6915</v>
      </c>
      <c r="C411" s="320">
        <f t="shared" si="77"/>
        <v>0.6915</v>
      </c>
      <c r="D411" s="321">
        <f t="shared" si="78"/>
        <v>0.954838356164384</v>
      </c>
    </row>
    <row r="412" customHeight="1" spans="1:4">
      <c r="A412" s="270" t="s">
        <v>260</v>
      </c>
      <c r="B412" s="320">
        <f t="shared" si="76"/>
        <v>3.793</v>
      </c>
      <c r="C412" s="320">
        <f t="shared" si="77"/>
        <v>3.793</v>
      </c>
      <c r="D412" s="321">
        <f t="shared" si="78"/>
        <v>5.23745753424658</v>
      </c>
    </row>
    <row r="413" customHeight="1" spans="1:4">
      <c r="A413" s="270" t="s">
        <v>261</v>
      </c>
      <c r="B413" s="320">
        <f t="shared" si="76"/>
        <v>2</v>
      </c>
      <c r="C413" s="320">
        <f t="shared" si="77"/>
        <v>2</v>
      </c>
      <c r="D413" s="321">
        <f t="shared" si="78"/>
        <v>2</v>
      </c>
    </row>
    <row r="414" customHeight="1" spans="1:4">
      <c r="A414" s="270" t="s">
        <v>262</v>
      </c>
      <c r="B414" s="320">
        <f t="shared" si="76"/>
        <v>1</v>
      </c>
      <c r="C414" s="320">
        <f t="shared" si="77"/>
        <v>1</v>
      </c>
      <c r="D414" s="321">
        <f t="shared" si="78"/>
        <v>1.38082191780822</v>
      </c>
    </row>
    <row r="415" customHeight="1" spans="1:4">
      <c r="A415" s="270" t="s">
        <v>263</v>
      </c>
      <c r="B415" s="320">
        <f t="shared" si="76"/>
        <v>0.0177</v>
      </c>
      <c r="C415" s="320">
        <f t="shared" si="77"/>
        <v>0.0177</v>
      </c>
      <c r="D415" s="321">
        <f t="shared" si="78"/>
        <v>0.0354</v>
      </c>
    </row>
    <row r="416" customHeight="1" spans="1:4">
      <c r="A416" s="270" t="s">
        <v>264</v>
      </c>
      <c r="B416" s="320">
        <f t="shared" si="76"/>
        <v>0.02</v>
      </c>
      <c r="C416" s="320">
        <f t="shared" si="77"/>
        <v>0.02</v>
      </c>
      <c r="D416" s="321">
        <f t="shared" si="78"/>
        <v>0.02</v>
      </c>
    </row>
    <row r="417" customHeight="1" spans="1:4">
      <c r="A417" s="270" t="s">
        <v>265</v>
      </c>
      <c r="B417" s="320">
        <f t="shared" si="76"/>
        <v>0.004</v>
      </c>
      <c r="C417" s="320">
        <f t="shared" si="77"/>
        <v>0.004</v>
      </c>
      <c r="D417" s="321">
        <f t="shared" si="78"/>
        <v>0.004</v>
      </c>
    </row>
    <row r="418" customHeight="1" spans="1:4">
      <c r="A418" s="270" t="s">
        <v>266</v>
      </c>
      <c r="B418" s="320">
        <f t="shared" si="76"/>
        <v>0.143</v>
      </c>
      <c r="C418" s="320">
        <f t="shared" si="77"/>
        <v>0.143</v>
      </c>
      <c r="D418" s="321">
        <f t="shared" si="78"/>
        <v>0.197457534246575</v>
      </c>
    </row>
    <row r="419" customHeight="1" spans="1:4">
      <c r="A419" s="270" t="s">
        <v>267</v>
      </c>
      <c r="B419" s="320">
        <f t="shared" si="76"/>
        <v>1.773</v>
      </c>
      <c r="C419" s="320">
        <f t="shared" si="77"/>
        <v>1.773</v>
      </c>
      <c r="D419" s="321">
        <f t="shared" si="78"/>
        <v>2.44819726027397</v>
      </c>
    </row>
    <row r="420" customHeight="1" spans="1:4">
      <c r="A420" s="272" t="s">
        <v>268</v>
      </c>
      <c r="B420" s="322">
        <f t="shared" si="76"/>
        <v>0.0096</v>
      </c>
      <c r="C420" s="322">
        <f t="shared" si="77"/>
        <v>0.0096</v>
      </c>
      <c r="D420" s="323">
        <f t="shared" si="78"/>
        <v>0.0096</v>
      </c>
    </row>
    <row r="421" customHeight="1" spans="1:8">
      <c r="A421" s="197" t="s">
        <v>275</v>
      </c>
      <c r="B421" s="324">
        <f>SUM(B409:B420)</f>
        <v>26.4518</v>
      </c>
      <c r="C421" s="324">
        <f>SUM(C409:C420)</f>
        <v>26.4518</v>
      </c>
      <c r="D421" s="325">
        <f>SUM(D409:D420)</f>
        <v>35.000101369863</v>
      </c>
      <c r="H421" s="135"/>
    </row>
    <row r="423" customHeight="1" spans="1:8">
      <c r="A423" s="137" t="s">
        <v>276</v>
      </c>
      <c r="B423" s="138"/>
      <c r="C423" s="138"/>
      <c r="D423" s="138"/>
      <c r="E423" s="138"/>
      <c r="F423" s="138"/>
      <c r="G423" s="138"/>
      <c r="H423" s="138"/>
    </row>
    <row r="424" ht="78" customHeight="1" spans="1:8">
      <c r="A424" s="133" t="s">
        <v>277</v>
      </c>
      <c r="B424" s="133"/>
      <c r="C424" s="133"/>
      <c r="D424" s="133"/>
      <c r="E424" s="133"/>
      <c r="F424" s="133"/>
      <c r="G424" s="133"/>
      <c r="H424" s="133"/>
    </row>
    <row r="426" customHeight="1" spans="1:4">
      <c r="A426" s="139" t="s">
        <v>278</v>
      </c>
      <c r="B426" s="158"/>
      <c r="C426" s="158"/>
      <c r="D426" s="140"/>
    </row>
    <row r="427" ht="27" customHeight="1" spans="1:4">
      <c r="A427" s="199" t="s">
        <v>4</v>
      </c>
      <c r="B427" s="200" t="s">
        <v>128</v>
      </c>
      <c r="C427" s="200" t="s">
        <v>279</v>
      </c>
      <c r="D427" s="202" t="s">
        <v>280</v>
      </c>
    </row>
    <row r="428" ht="37.5" hidden="1" customHeight="1" spans="1:4">
      <c r="A428" s="151" t="s">
        <v>135</v>
      </c>
      <c r="B428" s="152">
        <f ca="1">F74+E275+E379</f>
        <v>0</v>
      </c>
      <c r="C428" s="237">
        <v>30</v>
      </c>
      <c r="D428" s="160">
        <f ca="1">B428/C428</f>
        <v>0</v>
      </c>
    </row>
    <row r="429" ht="32.25" hidden="1" customHeight="1" spans="1:4">
      <c r="A429" s="161" t="s">
        <v>136</v>
      </c>
      <c r="B429" s="162">
        <f ca="1">F75+E276+E380</f>
        <v>0</v>
      </c>
      <c r="C429" s="238">
        <f>C428</f>
        <v>30</v>
      </c>
      <c r="D429" s="164">
        <f ca="1" t="shared" ref="D429:D433" si="79">B429/C429</f>
        <v>0</v>
      </c>
    </row>
    <row r="430" customHeight="1" spans="1:4">
      <c r="A430" s="276" t="str">
        <f>A16</f>
        <v>Servente (44h semanais)</v>
      </c>
      <c r="B430" s="262">
        <f>F76+E277+E381</f>
        <v>3801.56203522222</v>
      </c>
      <c r="C430" s="326">
        <v>30</v>
      </c>
      <c r="D430" s="263">
        <f t="shared" si="79"/>
        <v>126.718734507407</v>
      </c>
    </row>
    <row r="431" hidden="1" customHeight="1" spans="1:4">
      <c r="A431" s="141" t="s">
        <v>137</v>
      </c>
      <c r="B431" s="169">
        <f>G77+E278+E382</f>
        <v>444.015</v>
      </c>
      <c r="C431" s="234">
        <f>C430</f>
        <v>30</v>
      </c>
      <c r="D431" s="142">
        <f t="shared" si="79"/>
        <v>14.8005</v>
      </c>
    </row>
    <row r="432" hidden="1" customHeight="1" spans="1:4">
      <c r="A432" s="171" t="s">
        <v>138</v>
      </c>
      <c r="B432" s="172">
        <f>G78+E279+E383</f>
        <v>444.015</v>
      </c>
      <c r="C432" s="235">
        <f>C431</f>
        <v>30</v>
      </c>
      <c r="D432" s="174">
        <f t="shared" si="79"/>
        <v>14.8005</v>
      </c>
    </row>
    <row r="433" hidden="1" customHeight="1" spans="1:4">
      <c r="A433" s="143" t="s">
        <v>139</v>
      </c>
      <c r="B433" s="155">
        <f>G79+E280+E384</f>
        <v>651.222</v>
      </c>
      <c r="C433" s="236">
        <f>C432</f>
        <v>30</v>
      </c>
      <c r="D433" s="144">
        <f t="shared" si="79"/>
        <v>21.7074</v>
      </c>
    </row>
    <row r="434" ht="15.25"/>
    <row r="435" customHeight="1" spans="1:5">
      <c r="A435" s="209" t="s">
        <v>276</v>
      </c>
      <c r="B435" s="210"/>
      <c r="C435" s="210"/>
      <c r="D435" s="210"/>
      <c r="E435" s="211"/>
    </row>
    <row r="436" ht="33.75" customHeight="1" spans="1:5">
      <c r="A436" s="199" t="s">
        <v>4</v>
      </c>
      <c r="B436" s="200" t="s">
        <v>280</v>
      </c>
      <c r="C436" s="201" t="s">
        <v>281</v>
      </c>
      <c r="D436" s="200" t="s">
        <v>282</v>
      </c>
      <c r="E436" s="202" t="s">
        <v>283</v>
      </c>
    </row>
    <row r="437" hidden="1" customHeight="1" spans="1:5">
      <c r="A437" s="151" t="s">
        <v>135</v>
      </c>
      <c r="B437" s="152">
        <f ca="1">D428</f>
        <v>0</v>
      </c>
      <c r="C437" s="327">
        <f>B421</f>
        <v>26.4518</v>
      </c>
      <c r="D437" s="152">
        <f ca="1">B437*C437</f>
        <v>0</v>
      </c>
      <c r="E437" s="160">
        <f ca="1" t="shared" ref="E437:E442" si="80">D437/12</f>
        <v>0</v>
      </c>
    </row>
    <row r="438" hidden="1" customHeight="1" spans="1:5">
      <c r="A438" s="161" t="s">
        <v>136</v>
      </c>
      <c r="B438" s="162">
        <f ca="1" t="shared" ref="B438:B442" si="81">D429</f>
        <v>0</v>
      </c>
      <c r="C438" s="328">
        <f>C421</f>
        <v>26.4518</v>
      </c>
      <c r="D438" s="162">
        <f ca="1" t="shared" ref="D438:D442" si="82">B438*C438</f>
        <v>0</v>
      </c>
      <c r="E438" s="164">
        <f ca="1" t="shared" si="80"/>
        <v>0</v>
      </c>
    </row>
    <row r="439" customHeight="1" spans="1:5">
      <c r="A439" s="276" t="str">
        <f>A16</f>
        <v>Servente (44h semanais)</v>
      </c>
      <c r="B439" s="262">
        <f t="shared" si="81"/>
        <v>126.718734507407</v>
      </c>
      <c r="C439" s="329">
        <f>D421</f>
        <v>35.000101369863</v>
      </c>
      <c r="D439" s="262">
        <f t="shared" si="82"/>
        <v>4435.16855322002</v>
      </c>
      <c r="E439" s="263">
        <f t="shared" si="80"/>
        <v>369.597379435002</v>
      </c>
    </row>
    <row r="440" hidden="1" customHeight="1" spans="1:5">
      <c r="A440" s="141" t="s">
        <v>137</v>
      </c>
      <c r="B440" s="169">
        <f t="shared" si="81"/>
        <v>14.8005</v>
      </c>
      <c r="C440" s="330">
        <f>B421</f>
        <v>26.4518</v>
      </c>
      <c r="D440" s="169">
        <f t="shared" si="82"/>
        <v>391.4998659</v>
      </c>
      <c r="E440" s="142">
        <f t="shared" si="80"/>
        <v>32.624988825</v>
      </c>
    </row>
    <row r="441" hidden="1" customHeight="1" spans="1:5">
      <c r="A441" s="171" t="s">
        <v>138</v>
      </c>
      <c r="B441" s="172">
        <f t="shared" si="81"/>
        <v>14.8005</v>
      </c>
      <c r="C441" s="331">
        <f>C421</f>
        <v>26.4518</v>
      </c>
      <c r="D441" s="172">
        <f t="shared" si="82"/>
        <v>391.4998659</v>
      </c>
      <c r="E441" s="174">
        <f t="shared" si="80"/>
        <v>32.624988825</v>
      </c>
    </row>
    <row r="442" hidden="1" customHeight="1" spans="1:8">
      <c r="A442" s="143" t="s">
        <v>139</v>
      </c>
      <c r="B442" s="155">
        <f t="shared" si="81"/>
        <v>21.7074</v>
      </c>
      <c r="C442" s="332">
        <f>D421</f>
        <v>35.000101369863</v>
      </c>
      <c r="D442" s="155">
        <f t="shared" si="82"/>
        <v>759.761200476165</v>
      </c>
      <c r="E442" s="144">
        <f t="shared" si="80"/>
        <v>63.3134333730137</v>
      </c>
      <c r="H442" s="135"/>
    </row>
    <row r="444" customHeight="1" spans="1:8">
      <c r="A444" s="137" t="s">
        <v>284</v>
      </c>
      <c r="B444" s="138"/>
      <c r="C444" s="138"/>
      <c r="D444" s="138"/>
      <c r="E444" s="138"/>
      <c r="F444" s="138"/>
      <c r="G444" s="138"/>
      <c r="H444" s="138"/>
    </row>
    <row r="445" ht="119.25" customHeight="1" spans="1:8">
      <c r="A445" s="133" t="s">
        <v>285</v>
      </c>
      <c r="B445" s="133"/>
      <c r="C445" s="133"/>
      <c r="D445" s="133"/>
      <c r="E445" s="133"/>
      <c r="F445" s="133"/>
      <c r="G445" s="133"/>
      <c r="H445" s="133"/>
    </row>
    <row r="446" ht="22.5" customHeight="1"/>
    <row r="447" ht="22.5" customHeight="1" spans="1:4">
      <c r="A447" s="139" t="s">
        <v>286</v>
      </c>
      <c r="B447" s="158"/>
      <c r="C447" s="158"/>
      <c r="D447" s="140"/>
    </row>
    <row r="448" ht="22.5" customHeight="1" spans="1:4">
      <c r="A448" s="199" t="s">
        <v>4</v>
      </c>
      <c r="B448" s="200" t="s">
        <v>128</v>
      </c>
      <c r="C448" s="200" t="s">
        <v>287</v>
      </c>
      <c r="D448" s="202" t="s">
        <v>134</v>
      </c>
    </row>
    <row r="449" ht="22.5" hidden="1" customHeight="1" spans="1:4">
      <c r="A449" s="151" t="s">
        <v>135</v>
      </c>
      <c r="B449" s="152">
        <f ca="1">F74+E275+E379</f>
        <v>0</v>
      </c>
      <c r="C449" s="179">
        <v>220</v>
      </c>
      <c r="D449" s="160">
        <f ca="1">B449/C449</f>
        <v>0</v>
      </c>
    </row>
    <row r="450" hidden="1" customHeight="1" spans="1:4">
      <c r="A450" s="171" t="s">
        <v>136</v>
      </c>
      <c r="B450" s="172">
        <f ca="1">F75+E276+E380</f>
        <v>0</v>
      </c>
      <c r="C450" s="181">
        <f>C449</f>
        <v>220</v>
      </c>
      <c r="D450" s="174">
        <f ca="1" t="shared" ref="D450:D451" si="83">B450/C450</f>
        <v>0</v>
      </c>
    </row>
    <row r="451" customHeight="1" spans="1:4">
      <c r="A451" s="143" t="str">
        <f>A16</f>
        <v>Servente (44h semanais)</v>
      </c>
      <c r="B451" s="155">
        <f>F76+E277+E381</f>
        <v>3801.56203522222</v>
      </c>
      <c r="C451" s="183">
        <f>C450</f>
        <v>220</v>
      </c>
      <c r="D451" s="144">
        <v>0</v>
      </c>
    </row>
    <row r="452" ht="15.25"/>
    <row r="453" customHeight="1" spans="1:4">
      <c r="A453" s="148" t="s">
        <v>284</v>
      </c>
      <c r="B453" s="149"/>
      <c r="C453" s="149"/>
      <c r="D453" s="150"/>
    </row>
    <row r="454" ht="30" customHeight="1" spans="1:4">
      <c r="A454" s="139" t="s">
        <v>4</v>
      </c>
      <c r="B454" s="158" t="s">
        <v>288</v>
      </c>
      <c r="C454" s="314" t="s">
        <v>289</v>
      </c>
      <c r="D454" s="140" t="s">
        <v>134</v>
      </c>
    </row>
    <row r="455" hidden="1" customHeight="1" spans="1:4">
      <c r="A455" s="151" t="s">
        <v>135</v>
      </c>
      <c r="B455" s="152">
        <f ca="1">D449</f>
        <v>0</v>
      </c>
      <c r="C455" s="179">
        <v>15</v>
      </c>
      <c r="D455" s="160">
        <f ca="1">B455*C455</f>
        <v>0</v>
      </c>
    </row>
    <row r="456" hidden="1" customHeight="1" spans="1:4">
      <c r="A456" s="171" t="s">
        <v>136</v>
      </c>
      <c r="B456" s="172">
        <f ca="1" t="shared" ref="B456:B457" si="84">D450</f>
        <v>0</v>
      </c>
      <c r="C456" s="181">
        <v>15</v>
      </c>
      <c r="D456" s="174">
        <f ca="1" t="shared" ref="D456:D457" si="85">B456*C456</f>
        <v>0</v>
      </c>
    </row>
    <row r="457" customHeight="1" spans="1:8">
      <c r="A457" s="143" t="str">
        <f>A16</f>
        <v>Servente (44h semanais)</v>
      </c>
      <c r="B457" s="155">
        <f t="shared" si="84"/>
        <v>0</v>
      </c>
      <c r="C457" s="183">
        <v>22</v>
      </c>
      <c r="D457" s="144">
        <f t="shared" si="85"/>
        <v>0</v>
      </c>
      <c r="H457" s="135"/>
    </row>
    <row r="459" customHeight="1" spans="1:8">
      <c r="A459" s="136" t="s">
        <v>247</v>
      </c>
      <c r="B459" s="136"/>
      <c r="C459" s="136"/>
      <c r="D459" s="136"/>
      <c r="E459" s="136"/>
      <c r="F459" s="136"/>
      <c r="G459" s="136"/>
      <c r="H459" s="136"/>
    </row>
    <row r="461" customHeight="1" spans="1:4">
      <c r="A461" s="333" t="s">
        <v>247</v>
      </c>
      <c r="B461" s="334"/>
      <c r="C461" s="334"/>
      <c r="D461" s="335"/>
    </row>
    <row r="462" customHeight="1" spans="1:4">
      <c r="A462" s="336" t="s">
        <v>4</v>
      </c>
      <c r="B462" s="231" t="s">
        <v>290</v>
      </c>
      <c r="C462" s="231" t="s">
        <v>291</v>
      </c>
      <c r="D462" s="243" t="s">
        <v>155</v>
      </c>
    </row>
    <row r="463" hidden="1" customHeight="1" spans="1:4">
      <c r="A463" s="337" t="s">
        <v>135</v>
      </c>
      <c r="B463" s="166">
        <f ca="1" t="shared" ref="B463:B468" si="86">E437</f>
        <v>0</v>
      </c>
      <c r="C463" s="166">
        <f ca="1">D455</f>
        <v>0</v>
      </c>
      <c r="D463" s="338">
        <f ca="1">B463+C463</f>
        <v>0</v>
      </c>
    </row>
    <row r="464" hidden="1" customHeight="1" spans="1:4">
      <c r="A464" s="337" t="s">
        <v>136</v>
      </c>
      <c r="B464" s="166">
        <f ca="1" t="shared" si="86"/>
        <v>0</v>
      </c>
      <c r="C464" s="166">
        <f ca="1" t="shared" ref="C464:C465" si="87">D456</f>
        <v>0</v>
      </c>
      <c r="D464" s="338">
        <f ca="1" t="shared" ref="D464:D468" si="88">B464+C464</f>
        <v>0</v>
      </c>
    </row>
    <row r="465" customHeight="1" spans="1:4">
      <c r="A465" s="339" t="str">
        <f>A16</f>
        <v>Servente (44h semanais)</v>
      </c>
      <c r="B465" s="249">
        <f t="shared" si="86"/>
        <v>369.597379435002</v>
      </c>
      <c r="C465" s="249">
        <f t="shared" si="87"/>
        <v>0</v>
      </c>
      <c r="D465" s="340">
        <f t="shared" si="88"/>
        <v>369.597379435002</v>
      </c>
    </row>
    <row r="466" hidden="1" customHeight="1" spans="1:4">
      <c r="A466" s="141" t="s">
        <v>137</v>
      </c>
      <c r="B466" s="169">
        <f t="shared" si="86"/>
        <v>32.624988825</v>
      </c>
      <c r="C466" s="193"/>
      <c r="D466" s="142">
        <f t="shared" si="88"/>
        <v>32.624988825</v>
      </c>
    </row>
    <row r="467" hidden="1" customHeight="1" spans="1:4">
      <c r="A467" s="171" t="s">
        <v>138</v>
      </c>
      <c r="B467" s="172">
        <f t="shared" si="86"/>
        <v>32.624988825</v>
      </c>
      <c r="C467" s="181"/>
      <c r="D467" s="174">
        <f t="shared" si="88"/>
        <v>32.624988825</v>
      </c>
    </row>
    <row r="468" hidden="1" customHeight="1" spans="1:4">
      <c r="A468" s="143" t="s">
        <v>139</v>
      </c>
      <c r="B468" s="155">
        <f t="shared" si="86"/>
        <v>63.3134333730137</v>
      </c>
      <c r="C468" s="183"/>
      <c r="D468" s="144">
        <f t="shared" si="88"/>
        <v>63.3134333730137</v>
      </c>
    </row>
    <row r="470" customHeight="1" spans="1:8">
      <c r="A470" s="136" t="s">
        <v>292</v>
      </c>
      <c r="B470" s="136"/>
      <c r="C470" s="136"/>
      <c r="D470" s="136"/>
      <c r="E470" s="136"/>
      <c r="F470" s="136"/>
      <c r="G470" s="136"/>
      <c r="H470" s="136"/>
    </row>
    <row r="471" customHeight="1" spans="1:5">
      <c r="A471" s="135"/>
      <c r="B471" s="135"/>
      <c r="C471" s="135"/>
      <c r="E471" s="135"/>
    </row>
    <row r="472" customHeight="1" spans="1:5">
      <c r="A472" s="341" t="s">
        <v>293</v>
      </c>
      <c r="B472" s="342"/>
      <c r="C472" s="342"/>
      <c r="D472" s="343"/>
      <c r="E472" s="344"/>
    </row>
    <row r="473" customHeight="1" spans="1:4">
      <c r="A473" s="345" t="s">
        <v>3</v>
      </c>
      <c r="B473" s="346" t="s">
        <v>294</v>
      </c>
      <c r="C473" s="346" t="s">
        <v>295</v>
      </c>
      <c r="D473" s="243" t="s">
        <v>296</v>
      </c>
    </row>
    <row r="474" ht="124.5" customHeight="1" spans="1:4">
      <c r="A474" s="347" t="s">
        <v>297</v>
      </c>
      <c r="B474" s="348">
        <v>4</v>
      </c>
      <c r="C474" s="349">
        <v>61.11</v>
      </c>
      <c r="D474" s="350">
        <f>C474*B474/12</f>
        <v>20.37</v>
      </c>
    </row>
    <row r="475" ht="90" customHeight="1" spans="1:4">
      <c r="A475" s="347" t="s">
        <v>298</v>
      </c>
      <c r="B475" s="348">
        <v>4</v>
      </c>
      <c r="C475" s="349">
        <v>60.9</v>
      </c>
      <c r="D475" s="350">
        <f t="shared" ref="D475:D478" si="89">C475*B475/12</f>
        <v>20.3</v>
      </c>
    </row>
    <row r="476" customHeight="1" spans="1:5">
      <c r="A476" s="347" t="s">
        <v>299</v>
      </c>
      <c r="B476" s="348">
        <v>4</v>
      </c>
      <c r="C476" s="349">
        <v>14.17</v>
      </c>
      <c r="D476" s="350">
        <f t="shared" si="89"/>
        <v>4.72333333333333</v>
      </c>
      <c r="E476" s="351"/>
    </row>
    <row r="477" ht="75.75" customHeight="1" spans="1:5">
      <c r="A477" s="347" t="s">
        <v>300</v>
      </c>
      <c r="B477" s="348">
        <v>2</v>
      </c>
      <c r="C477" s="349">
        <v>43.47</v>
      </c>
      <c r="D477" s="350">
        <f t="shared" si="89"/>
        <v>7.245</v>
      </c>
      <c r="E477" s="351"/>
    </row>
    <row r="478" ht="45" customHeight="1" spans="1:5">
      <c r="A478" s="347" t="s">
        <v>301</v>
      </c>
      <c r="B478" s="348">
        <v>4</v>
      </c>
      <c r="C478" s="349">
        <v>36.51</v>
      </c>
      <c r="D478" s="350">
        <f t="shared" si="89"/>
        <v>12.17</v>
      </c>
      <c r="E478" s="351"/>
    </row>
    <row r="479" ht="26.25" customHeight="1" spans="1:5">
      <c r="A479" s="347" t="s">
        <v>302</v>
      </c>
      <c r="B479" s="348">
        <v>3</v>
      </c>
      <c r="C479" s="349">
        <v>7.38</v>
      </c>
      <c r="D479" s="350">
        <f>C479*B479/120</f>
        <v>0.1845</v>
      </c>
      <c r="E479" s="351"/>
    </row>
    <row r="480" customHeight="1" spans="1:5">
      <c r="A480" s="352" t="s">
        <v>303</v>
      </c>
      <c r="B480" s="353"/>
      <c r="C480" s="353"/>
      <c r="D480" s="354">
        <f>SUM(D474:D479)</f>
        <v>64.9928333333333</v>
      </c>
      <c r="E480" s="351"/>
    </row>
    <row r="481" customHeight="1" spans="1:5">
      <c r="A481" s="351"/>
      <c r="B481" s="351"/>
      <c r="C481" s="351"/>
      <c r="D481" s="351"/>
      <c r="E481" s="351"/>
    </row>
    <row r="482" customHeight="1" spans="1:5">
      <c r="A482" s="341" t="s">
        <v>304</v>
      </c>
      <c r="B482" s="342"/>
      <c r="C482" s="342"/>
      <c r="D482" s="343"/>
      <c r="E482" s="344"/>
    </row>
    <row r="483" customHeight="1" spans="1:4">
      <c r="A483" s="345" t="s">
        <v>4</v>
      </c>
      <c r="B483" s="346" t="s">
        <v>128</v>
      </c>
      <c r="C483" s="346" t="s">
        <v>305</v>
      </c>
      <c r="D483" s="243" t="s">
        <v>296</v>
      </c>
    </row>
    <row r="484" customHeight="1" spans="1:4">
      <c r="A484" s="347" t="s">
        <v>306</v>
      </c>
      <c r="B484" s="166">
        <f>F76+E277+E381+D465+D475</f>
        <v>4191.45941465722</v>
      </c>
      <c r="C484" s="355">
        <v>0.12</v>
      </c>
      <c r="D484" s="350">
        <f>C484*B484</f>
        <v>502.975129758867</v>
      </c>
    </row>
    <row r="485" customHeight="1" spans="1:4">
      <c r="A485" s="352" t="s">
        <v>303</v>
      </c>
      <c r="B485" s="353"/>
      <c r="C485" s="353"/>
      <c r="D485" s="354">
        <f>SUM(D484:D484)</f>
        <v>502.975129758867</v>
      </c>
    </row>
    <row r="486" hidden="1" customHeight="1" spans="1:4">
      <c r="A486" s="356" t="s">
        <v>303</v>
      </c>
      <c r="B486" s="357"/>
      <c r="C486" s="358"/>
      <c r="D486" s="359">
        <f>SUM(D484:D484)</f>
        <v>502.975129758867</v>
      </c>
    </row>
    <row r="487" hidden="1" customHeight="1" spans="1:5">
      <c r="A487" s="351" t="s">
        <v>307</v>
      </c>
      <c r="B487" s="351"/>
      <c r="C487" s="351"/>
      <c r="D487" s="351"/>
      <c r="E487" s="351"/>
    </row>
    <row r="488" hidden="1" customHeight="1" spans="1:4">
      <c r="A488" s="143" t="s">
        <v>139</v>
      </c>
      <c r="B488" s="360"/>
      <c r="C488" s="361"/>
      <c r="D488" s="362"/>
    </row>
    <row r="489" hidden="1" customHeight="1" spans="1:4">
      <c r="A489" s="141" t="s">
        <v>137</v>
      </c>
      <c r="B489" s="363"/>
      <c r="C489" s="363"/>
      <c r="D489" s="364"/>
    </row>
    <row r="490" hidden="1" customHeight="1" spans="1:4">
      <c r="A490" s="171" t="s">
        <v>138</v>
      </c>
      <c r="B490" s="365"/>
      <c r="C490" s="365"/>
      <c r="D490" s="366"/>
    </row>
    <row r="491" hidden="1" customHeight="1" spans="1:4">
      <c r="A491" s="143" t="s">
        <v>139</v>
      </c>
      <c r="B491" s="360"/>
      <c r="C491" s="360"/>
      <c r="D491" s="367"/>
    </row>
    <row r="492" ht="51" customHeight="1" spans="1:4">
      <c r="A492" s="368" t="s">
        <v>308</v>
      </c>
      <c r="B492" s="368"/>
      <c r="C492" s="368"/>
      <c r="D492" s="368"/>
    </row>
    <row r="494" customHeight="1" spans="1:4">
      <c r="A494" s="369" t="s">
        <v>292</v>
      </c>
      <c r="B494" s="370"/>
      <c r="C494" s="370"/>
      <c r="D494" s="371"/>
    </row>
    <row r="495" ht="39.75" customHeight="1" spans="1:4">
      <c r="A495" s="372" t="s">
        <v>4</v>
      </c>
      <c r="B495" s="373" t="s">
        <v>309</v>
      </c>
      <c r="C495" s="373" t="s">
        <v>310</v>
      </c>
      <c r="D495" s="374" t="s">
        <v>311</v>
      </c>
    </row>
    <row r="496" hidden="1" customHeight="1" spans="1:4">
      <c r="A496" s="337" t="s">
        <v>135</v>
      </c>
      <c r="B496" s="375" t="e">
        <f>#REF!</f>
        <v>#REF!</v>
      </c>
      <c r="C496" s="376" t="e">
        <f>SUM(B496:C496)</f>
        <v>#REF!</v>
      </c>
      <c r="D496" s="377" t="e">
        <f>SUM(C496:D496)</f>
        <v>#REF!</v>
      </c>
    </row>
    <row r="497" hidden="1" customHeight="1" spans="1:4">
      <c r="A497" s="337" t="s">
        <v>136</v>
      </c>
      <c r="B497" s="375" t="e">
        <f>#REF!</f>
        <v>#REF!</v>
      </c>
      <c r="C497" s="376" t="e">
        <f>SUM(B497:C497)</f>
        <v>#REF!</v>
      </c>
      <c r="D497" s="377" t="e">
        <f>SUM(C497:D497)</f>
        <v>#REF!</v>
      </c>
    </row>
    <row r="498" customHeight="1" spans="1:4">
      <c r="A498" s="339" t="str">
        <f>A16</f>
        <v>Servente (44h semanais)</v>
      </c>
      <c r="B498" s="378">
        <f>D480</f>
        <v>64.9928333333333</v>
      </c>
      <c r="C498" s="378">
        <f>D485</f>
        <v>502.975129758867</v>
      </c>
      <c r="D498" s="379">
        <f>B498+C498</f>
        <v>567.9679630922</v>
      </c>
    </row>
    <row r="499" hidden="1" customHeight="1" spans="1:4">
      <c r="A499" s="141" t="s">
        <v>137</v>
      </c>
      <c r="B499" s="380">
        <f t="shared" ref="B499:B501" si="90">C486</f>
        <v>0</v>
      </c>
      <c r="C499" s="380">
        <f t="shared" ref="C499:C501" si="91">D489</f>
        <v>0</v>
      </c>
      <c r="D499" s="364">
        <f t="shared" ref="D499:D501" si="92">SUM(B499:C499)</f>
        <v>0</v>
      </c>
    </row>
    <row r="500" hidden="1" customHeight="1" spans="1:4">
      <c r="A500" s="171" t="s">
        <v>138</v>
      </c>
      <c r="B500" s="381">
        <f t="shared" si="90"/>
        <v>0</v>
      </c>
      <c r="C500" s="381">
        <f t="shared" si="91"/>
        <v>0</v>
      </c>
      <c r="D500" s="366">
        <f t="shared" si="92"/>
        <v>0</v>
      </c>
    </row>
    <row r="501" hidden="1" customHeight="1" spans="1:8">
      <c r="A501" s="143" t="s">
        <v>139</v>
      </c>
      <c r="B501" s="382">
        <f t="shared" si="90"/>
        <v>0</v>
      </c>
      <c r="C501" s="382">
        <f t="shared" si="91"/>
        <v>0</v>
      </c>
      <c r="D501" s="367">
        <f t="shared" si="92"/>
        <v>0</v>
      </c>
      <c r="H501" s="135"/>
    </row>
    <row r="503" customHeight="1" spans="1:8">
      <c r="A503" s="136" t="s">
        <v>312</v>
      </c>
      <c r="B503" s="136"/>
      <c r="C503" s="136"/>
      <c r="D503" s="136"/>
      <c r="E503" s="136"/>
      <c r="F503" s="136"/>
      <c r="G503" s="136"/>
      <c r="H503" s="136"/>
    </row>
    <row r="504" customHeight="1" spans="1:6">
      <c r="A504" s="198"/>
      <c r="B504" s="198"/>
      <c r="C504" s="198"/>
      <c r="D504" s="198"/>
      <c r="E504" s="198"/>
      <c r="F504" s="198"/>
    </row>
    <row r="505" ht="49.5" customHeight="1" spans="1:6">
      <c r="A505" s="383" t="s">
        <v>313</v>
      </c>
      <c r="B505" s="384"/>
      <c r="C505" s="198"/>
      <c r="D505" s="198"/>
      <c r="E505" s="198"/>
      <c r="F505" s="198"/>
    </row>
    <row r="506" customHeight="1" spans="1:6">
      <c r="A506" s="385" t="s">
        <v>314</v>
      </c>
      <c r="B506" s="386">
        <v>0.03</v>
      </c>
      <c r="C506" s="198"/>
      <c r="D506" s="198"/>
      <c r="E506" s="198"/>
      <c r="F506" s="198"/>
    </row>
    <row r="507" customHeight="1" spans="1:6">
      <c r="A507" s="385" t="s">
        <v>315</v>
      </c>
      <c r="B507" s="386">
        <v>0.1225</v>
      </c>
      <c r="C507" s="198"/>
      <c r="D507" s="198"/>
      <c r="E507" s="198"/>
      <c r="F507" s="198"/>
    </row>
    <row r="508" customHeight="1" spans="1:6">
      <c r="A508" s="387" t="s">
        <v>316</v>
      </c>
      <c r="B508" s="388">
        <v>0.0679</v>
      </c>
      <c r="C508" s="198"/>
      <c r="D508" s="198"/>
      <c r="E508" s="198"/>
      <c r="F508" s="198"/>
    </row>
    <row r="509" ht="50" customHeight="1" spans="1:6">
      <c r="A509" s="368" t="s">
        <v>308</v>
      </c>
      <c r="B509" s="368"/>
      <c r="C509" s="368"/>
      <c r="D509" s="368"/>
      <c r="E509" s="198"/>
      <c r="F509" s="198"/>
    </row>
    <row r="511" customHeight="1" spans="1:4">
      <c r="A511" s="139" t="s">
        <v>312</v>
      </c>
      <c r="B511" s="158"/>
      <c r="C511" s="158"/>
      <c r="D511" s="140"/>
    </row>
    <row r="512" customHeight="1" spans="1:4">
      <c r="A512" s="199" t="s">
        <v>4</v>
      </c>
      <c r="B512" s="200" t="s">
        <v>128</v>
      </c>
      <c r="C512" s="200" t="s">
        <v>129</v>
      </c>
      <c r="D512" s="202" t="s">
        <v>134</v>
      </c>
    </row>
    <row r="513" hidden="1" customHeight="1" spans="1:4">
      <c r="A513" s="151" t="s">
        <v>135</v>
      </c>
      <c r="B513" s="389">
        <f ca="1">F74+E275+E379+D463+C496</f>
        <v>0</v>
      </c>
      <c r="C513" s="390">
        <f>((1+$B$506)/(1-$B$507-$B$508))-1</f>
        <v>0.272233201581028</v>
      </c>
      <c r="D513" s="160">
        <f ca="1">B513*C513</f>
        <v>0</v>
      </c>
    </row>
    <row r="514" hidden="1" customHeight="1" spans="1:4">
      <c r="A514" s="161" t="s">
        <v>136</v>
      </c>
      <c r="B514" s="391">
        <f ca="1">F75+E276+E380+D464+C497</f>
        <v>0</v>
      </c>
      <c r="C514" s="392">
        <f t="shared" ref="C514:C518" si="93">((1+$B$506)/(1-$B$507-$B$508))-1</f>
        <v>0.272233201581028</v>
      </c>
      <c r="D514" s="164">
        <f ca="1" t="shared" ref="D514:D518" si="94">B514*C514</f>
        <v>0</v>
      </c>
    </row>
    <row r="515" customHeight="1" spans="1:4">
      <c r="A515" s="276" t="str">
        <f>A16</f>
        <v>Servente (44h semanais)</v>
      </c>
      <c r="B515" s="393">
        <f>F76+E277+E381+D465+D498</f>
        <v>4739.12737774942</v>
      </c>
      <c r="C515" s="394">
        <f t="shared" si="93"/>
        <v>0.272233201581028</v>
      </c>
      <c r="D515" s="263">
        <f t="shared" si="94"/>
        <v>1290.14781874503</v>
      </c>
    </row>
    <row r="516" hidden="1" customHeight="1" spans="1:4">
      <c r="A516" s="141" t="s">
        <v>137</v>
      </c>
      <c r="B516" s="395">
        <f>G77+E278+E382+D466+D499</f>
        <v>476.639988825</v>
      </c>
      <c r="C516" s="396">
        <f t="shared" si="93"/>
        <v>0.272233201581028</v>
      </c>
      <c r="D516" s="142">
        <f t="shared" si="94"/>
        <v>129.757230159375</v>
      </c>
    </row>
    <row r="517" hidden="1" customHeight="1" spans="1:4">
      <c r="A517" s="171" t="s">
        <v>138</v>
      </c>
      <c r="B517" s="397">
        <f>G78+E279+E383+D467+D500</f>
        <v>476.639988825</v>
      </c>
      <c r="C517" s="398">
        <f t="shared" si="93"/>
        <v>0.272233201581028</v>
      </c>
      <c r="D517" s="174">
        <f t="shared" si="94"/>
        <v>129.757230159375</v>
      </c>
    </row>
    <row r="518" hidden="1" customHeight="1" spans="1:8">
      <c r="A518" s="143" t="s">
        <v>139</v>
      </c>
      <c r="B518" s="399">
        <f>G79+E280+E384+D468+D501</f>
        <v>714.535433373014</v>
      </c>
      <c r="C518" s="400">
        <f t="shared" si="93"/>
        <v>0.272233201581028</v>
      </c>
      <c r="D518" s="144">
        <f t="shared" si="94"/>
        <v>194.520268670223</v>
      </c>
      <c r="H518" s="135"/>
    </row>
    <row r="520" customHeight="1" spans="1:8">
      <c r="A520" s="136" t="s">
        <v>317</v>
      </c>
      <c r="B520" s="136"/>
      <c r="C520" s="136"/>
      <c r="D520" s="136"/>
      <c r="E520" s="136"/>
      <c r="F520" s="136"/>
      <c r="G520" s="136"/>
      <c r="H520" s="136"/>
    </row>
    <row r="521" ht="51" customHeight="1" spans="1:6">
      <c r="A521" s="133" t="s">
        <v>318</v>
      </c>
      <c r="B521" s="133"/>
      <c r="C521" s="133"/>
      <c r="D521" s="133"/>
      <c r="E521" s="133"/>
      <c r="F521" s="133"/>
    </row>
    <row r="523" customHeight="1" spans="1:4">
      <c r="A523" s="145" t="s">
        <v>319</v>
      </c>
      <c r="B523" s="146"/>
      <c r="C523" s="146"/>
      <c r="D523" s="147"/>
    </row>
    <row r="524" customHeight="1" spans="1:4">
      <c r="A524" s="148" t="s">
        <v>4</v>
      </c>
      <c r="B524" s="149" t="s">
        <v>128</v>
      </c>
      <c r="C524" s="149" t="s">
        <v>320</v>
      </c>
      <c r="D524" s="150" t="s">
        <v>134</v>
      </c>
    </row>
    <row r="525" hidden="1" customHeight="1" spans="1:4">
      <c r="A525" s="151" t="s">
        <v>137</v>
      </c>
      <c r="B525" s="152">
        <f>G77+E278+E382+D466+D499+D516</f>
        <v>606.397218984375</v>
      </c>
      <c r="C525" s="179">
        <v>40</v>
      </c>
      <c r="D525" s="160">
        <f>B525/C525</f>
        <v>15.1599304746094</v>
      </c>
    </row>
    <row r="526" hidden="1" customHeight="1" spans="1:4">
      <c r="A526" s="171" t="s">
        <v>138</v>
      </c>
      <c r="B526" s="172">
        <f>G78+E279+E383+D467+D500+D517</f>
        <v>606.397218984375</v>
      </c>
      <c r="C526" s="181">
        <f>C525</f>
        <v>40</v>
      </c>
      <c r="D526" s="174">
        <f t="shared" ref="D526:D527" si="95">B526/C526</f>
        <v>15.1599304746094</v>
      </c>
    </row>
    <row r="527" customHeight="1" spans="1:8">
      <c r="A527" s="143" t="str">
        <f>A16</f>
        <v>Servente (44h semanais)</v>
      </c>
      <c r="B527" s="155">
        <f>G79+E280+E384+D468+D501+D518</f>
        <v>909.055702043237</v>
      </c>
      <c r="C527" s="183">
        <f>C526</f>
        <v>40</v>
      </c>
      <c r="D527" s="144">
        <v>0</v>
      </c>
      <c r="H527" s="135"/>
    </row>
    <row r="529" customHeight="1" spans="1:8">
      <c r="A529" s="136" t="s">
        <v>321</v>
      </c>
      <c r="B529" s="136"/>
      <c r="C529" s="136"/>
      <c r="D529" s="136"/>
      <c r="E529" s="136"/>
      <c r="F529" s="136"/>
      <c r="G529" s="136"/>
      <c r="H529" s="136"/>
    </row>
    <row r="531" customHeight="1" spans="1:4">
      <c r="A531" s="148" t="s">
        <v>322</v>
      </c>
      <c r="B531" s="149"/>
      <c r="C531" s="149"/>
      <c r="D531" s="150"/>
    </row>
    <row r="532" customHeight="1" spans="1:4">
      <c r="A532" s="264" t="s">
        <v>323</v>
      </c>
      <c r="B532" s="149" t="s">
        <v>324</v>
      </c>
      <c r="C532" s="149" t="s">
        <v>325</v>
      </c>
      <c r="D532" s="150" t="s">
        <v>326</v>
      </c>
    </row>
    <row r="533" ht="32.1" customHeight="1" spans="1:4">
      <c r="A533" s="297" t="s">
        <v>327</v>
      </c>
      <c r="B533" s="152">
        <f ca="1">F74</f>
        <v>0</v>
      </c>
      <c r="C533" s="152">
        <f ca="1">F75</f>
        <v>0</v>
      </c>
      <c r="D533" s="154">
        <f>F76</f>
        <v>1536.43</v>
      </c>
    </row>
    <row r="534" ht="32.1" customHeight="1" spans="1:4">
      <c r="A534" s="270" t="s">
        <v>328</v>
      </c>
      <c r="B534" s="172">
        <f ca="1">E275</f>
        <v>0</v>
      </c>
      <c r="C534" s="172">
        <f ca="1">E276</f>
        <v>0</v>
      </c>
      <c r="D534" s="401">
        <f>E277</f>
        <v>1936.79112</v>
      </c>
    </row>
    <row r="535" ht="32.1" customHeight="1" spans="1:4">
      <c r="A535" s="270" t="s">
        <v>329</v>
      </c>
      <c r="B535" s="172">
        <f ca="1">E379</f>
        <v>0</v>
      </c>
      <c r="C535" s="172">
        <f ca="1">E380</f>
        <v>0</v>
      </c>
      <c r="D535" s="401">
        <f>E381</f>
        <v>328.340915222222</v>
      </c>
    </row>
    <row r="536" ht="32.1" customHeight="1" spans="1:4">
      <c r="A536" s="270" t="s">
        <v>330</v>
      </c>
      <c r="B536" s="172">
        <f ca="1">D463</f>
        <v>0</v>
      </c>
      <c r="C536" s="172">
        <f ca="1">D464</f>
        <v>0</v>
      </c>
      <c r="D536" s="401">
        <f>D465</f>
        <v>369.597379435002</v>
      </c>
    </row>
    <row r="537" ht="32.1" customHeight="1" spans="1:4">
      <c r="A537" s="270" t="s">
        <v>331</v>
      </c>
      <c r="B537" s="172">
        <v>0</v>
      </c>
      <c r="C537" s="172">
        <v>0</v>
      </c>
      <c r="D537" s="401">
        <f>D498</f>
        <v>567.9679630922</v>
      </c>
    </row>
    <row r="538" ht="32.1" customHeight="1" spans="1:4">
      <c r="A538" s="270" t="s">
        <v>332</v>
      </c>
      <c r="B538" s="172">
        <f ca="1">D513</f>
        <v>0</v>
      </c>
      <c r="C538" s="172">
        <f ca="1">D514</f>
        <v>0</v>
      </c>
      <c r="D538" s="401">
        <f>D515</f>
        <v>1290.14781874503</v>
      </c>
    </row>
    <row r="539" ht="32.1" customHeight="1" spans="1:4">
      <c r="A539" s="270" t="s">
        <v>333</v>
      </c>
      <c r="B539" s="172">
        <v>0</v>
      </c>
      <c r="C539" s="172">
        <v>0</v>
      </c>
      <c r="D539" s="401">
        <f>D527</f>
        <v>0</v>
      </c>
    </row>
    <row r="540" ht="32.1" customHeight="1" spans="1:4">
      <c r="A540" s="402" t="s">
        <v>334</v>
      </c>
      <c r="B540" s="403">
        <f ca="1">SUM(B533:B539)</f>
        <v>0</v>
      </c>
      <c r="C540" s="403">
        <f ca="1">SUM(C533:C539)</f>
        <v>0</v>
      </c>
      <c r="D540" s="404">
        <f>SUM(D533:D539)</f>
        <v>6029.27519649445</v>
      </c>
    </row>
    <row r="541" ht="32.1" customHeight="1" spans="1:4">
      <c r="A541" s="197" t="s">
        <v>335</v>
      </c>
      <c r="B541" s="405">
        <f ca="1">B540*2</f>
        <v>0</v>
      </c>
      <c r="C541" s="405">
        <f ca="1">C540*2</f>
        <v>0</v>
      </c>
      <c r="D541" s="406">
        <f>D540*1</f>
        <v>6029.27519649445</v>
      </c>
    </row>
    <row r="542" customHeight="1" spans="1:1">
      <c r="A542" s="129"/>
    </row>
    <row r="543" customHeight="1" spans="1:1">
      <c r="A543" s="129"/>
    </row>
    <row r="544" customHeight="1" spans="1:1">
      <c r="A544" s="129"/>
    </row>
  </sheetData>
  <mergeCells count="118">
    <mergeCell ref="A1:H1"/>
    <mergeCell ref="A3:H3"/>
    <mergeCell ref="A5:H5"/>
    <mergeCell ref="A6:H6"/>
    <mergeCell ref="A7:H7"/>
    <mergeCell ref="A9:H9"/>
    <mergeCell ref="A10:H10"/>
    <mergeCell ref="A12:H12"/>
    <mergeCell ref="A13:H13"/>
    <mergeCell ref="A15:B15"/>
    <mergeCell ref="A19:H19"/>
    <mergeCell ref="A20:H20"/>
    <mergeCell ref="A22:D22"/>
    <mergeCell ref="A27:H27"/>
    <mergeCell ref="A28:H28"/>
    <mergeCell ref="A30:D30"/>
    <mergeCell ref="A40:H40"/>
    <mergeCell ref="A41:H41"/>
    <mergeCell ref="A43:E43"/>
    <mergeCell ref="A47:E47"/>
    <mergeCell ref="A52:D52"/>
    <mergeCell ref="A57:D57"/>
    <mergeCell ref="A58:F58"/>
    <mergeCell ref="A60:D60"/>
    <mergeCell ref="A69:H69"/>
    <mergeCell ref="A70:H70"/>
    <mergeCell ref="A72:F72"/>
    <mergeCell ref="A81:H81"/>
    <mergeCell ref="A83:H83"/>
    <mergeCell ref="A85:D85"/>
    <mergeCell ref="A94:D94"/>
    <mergeCell ref="A103:E103"/>
    <mergeCell ref="A112:E112"/>
    <mergeCell ref="A121:H121"/>
    <mergeCell ref="A122:H122"/>
    <mergeCell ref="A124:B124"/>
    <mergeCell ref="A136:D136"/>
    <mergeCell ref="A145:D145"/>
    <mergeCell ref="A154:D154"/>
    <mergeCell ref="A163:H163"/>
    <mergeCell ref="A164:H164"/>
    <mergeCell ref="A166:F166"/>
    <mergeCell ref="A168:E168"/>
    <mergeCell ref="A177:E177"/>
    <mergeCell ref="A186:D186"/>
    <mergeCell ref="A195:F195"/>
    <mergeCell ref="A197:D197"/>
    <mergeCell ref="A206:D206"/>
    <mergeCell ref="A215:D215"/>
    <mergeCell ref="A224:H224"/>
    <mergeCell ref="A226:D226"/>
    <mergeCell ref="A232:H232"/>
    <mergeCell ref="A234:D234"/>
    <mergeCell ref="A243:H243"/>
    <mergeCell ref="A245:D245"/>
    <mergeCell ref="A251:H251"/>
    <mergeCell ref="A253:D253"/>
    <mergeCell ref="A262:H262"/>
    <mergeCell ref="A271:H271"/>
    <mergeCell ref="A273:E273"/>
    <mergeCell ref="A282:H282"/>
    <mergeCell ref="A283:H283"/>
    <mergeCell ref="A285:B285"/>
    <mergeCell ref="A294:H294"/>
    <mergeCell ref="A295:H295"/>
    <mergeCell ref="A297:D297"/>
    <mergeCell ref="A306:D306"/>
    <mergeCell ref="A315:D315"/>
    <mergeCell ref="A324:H324"/>
    <mergeCell ref="A325:H325"/>
    <mergeCell ref="A327:D327"/>
    <mergeCell ref="A336:D336"/>
    <mergeCell ref="A345:D345"/>
    <mergeCell ref="A354:H354"/>
    <mergeCell ref="A355:H355"/>
    <mergeCell ref="A357:E357"/>
    <mergeCell ref="A366:D366"/>
    <mergeCell ref="A375:H375"/>
    <mergeCell ref="A377:E377"/>
    <mergeCell ref="A386:H386"/>
    <mergeCell ref="A387:H387"/>
    <mergeCell ref="A389:G389"/>
    <mergeCell ref="A390:G390"/>
    <mergeCell ref="A406:D406"/>
    <mergeCell ref="B407:D407"/>
    <mergeCell ref="A423:H423"/>
    <mergeCell ref="A424:H424"/>
    <mergeCell ref="A426:D426"/>
    <mergeCell ref="A435:E435"/>
    <mergeCell ref="A444:H444"/>
    <mergeCell ref="A445:H445"/>
    <mergeCell ref="A447:D447"/>
    <mergeCell ref="A453:D453"/>
    <mergeCell ref="A459:H459"/>
    <mergeCell ref="A461:D461"/>
    <mergeCell ref="A470:H470"/>
    <mergeCell ref="A472:D472"/>
    <mergeCell ref="A480:C480"/>
    <mergeCell ref="A482:D482"/>
    <mergeCell ref="A485:C485"/>
    <mergeCell ref="A486:C486"/>
    <mergeCell ref="A487:E487"/>
    <mergeCell ref="A492:D492"/>
    <mergeCell ref="A494:D494"/>
    <mergeCell ref="A503:H503"/>
    <mergeCell ref="A504:F504"/>
    <mergeCell ref="A505:B505"/>
    <mergeCell ref="A509:D509"/>
    <mergeCell ref="A511:D511"/>
    <mergeCell ref="A520:H520"/>
    <mergeCell ref="A521:F521"/>
    <mergeCell ref="A523:D523"/>
    <mergeCell ref="A529:H529"/>
    <mergeCell ref="A531:D531"/>
    <mergeCell ref="A391:A392"/>
    <mergeCell ref="A407:A408"/>
    <mergeCell ref="B391:B392"/>
    <mergeCell ref="C391:C392"/>
  </mergeCells>
  <pageMargins left="0.511811024" right="0.511811024" top="0.787401575" bottom="0.787401575" header="0.31496062" footer="0.31496062"/>
  <pageSetup paperSize="9" scale="55"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1"/>
  <sheetViews>
    <sheetView zoomScale="50" zoomScaleNormal="50" workbookViewId="0">
      <selection activeCell="M9" sqref="M9"/>
    </sheetView>
  </sheetViews>
  <sheetFormatPr defaultColWidth="9" defaultRowHeight="14.5"/>
  <cols>
    <col min="1" max="1" width="9" style="87"/>
    <col min="2" max="2" width="36.5727272727273" style="87" customWidth="1"/>
    <col min="3" max="3" width="32.2818181818182" style="87" customWidth="1"/>
    <col min="4" max="4" width="33" style="87" customWidth="1"/>
    <col min="5" max="5" width="29" style="87" customWidth="1"/>
    <col min="6" max="6" width="26.8545454545455" style="87" customWidth="1"/>
    <col min="7" max="7" width="23.8545454545455" style="87" customWidth="1"/>
    <col min="8" max="8" width="18.4272727272727" style="87" customWidth="1"/>
    <col min="9" max="9" width="17" style="87" customWidth="1"/>
    <col min="10" max="16384" width="9" style="87"/>
  </cols>
  <sheetData>
    <row r="1" s="87" customFormat="1" ht="23" spans="1:9">
      <c r="A1" s="88" t="s">
        <v>336</v>
      </c>
      <c r="B1" s="88"/>
      <c r="C1" s="88"/>
      <c r="D1" s="88"/>
      <c r="E1" s="88"/>
      <c r="F1" s="88"/>
      <c r="G1" s="88"/>
      <c r="H1" s="88"/>
      <c r="I1" s="88"/>
    </row>
    <row r="3" s="87" customFormat="1" ht="15.75" customHeight="1" spans="1:9">
      <c r="A3" s="89" t="s">
        <v>337</v>
      </c>
      <c r="B3" s="89"/>
      <c r="C3" s="89"/>
      <c r="D3" s="89"/>
      <c r="E3" s="89"/>
      <c r="F3" s="89"/>
      <c r="G3" s="89"/>
      <c r="H3" s="89"/>
      <c r="I3" s="89"/>
    </row>
    <row r="4" s="87" customFormat="1" ht="15.75" customHeight="1" spans="1:9">
      <c r="A4" s="90" t="s">
        <v>338</v>
      </c>
      <c r="B4" s="90"/>
      <c r="C4" s="90"/>
      <c r="D4" s="90"/>
      <c r="E4" s="90"/>
      <c r="F4" s="90"/>
      <c r="G4" s="90"/>
      <c r="H4" s="91"/>
      <c r="I4" s="91"/>
    </row>
    <row r="5" s="87" customFormat="1" ht="28" spans="1:9">
      <c r="A5" s="92" t="s">
        <v>339</v>
      </c>
      <c r="B5" s="93" t="s">
        <v>340</v>
      </c>
      <c r="C5" s="92" t="s">
        <v>341</v>
      </c>
      <c r="D5" s="92" t="s">
        <v>342</v>
      </c>
      <c r="E5" s="92" t="s">
        <v>343</v>
      </c>
      <c r="F5" s="93" t="s">
        <v>344</v>
      </c>
      <c r="G5" s="94" t="s">
        <v>345</v>
      </c>
      <c r="H5" s="95" t="s">
        <v>346</v>
      </c>
      <c r="I5" s="95" t="s">
        <v>347</v>
      </c>
    </row>
    <row r="6" s="87" customFormat="1" ht="42" spans="1:9">
      <c r="A6" s="96" t="s">
        <v>348</v>
      </c>
      <c r="B6" s="97" t="s">
        <v>349</v>
      </c>
      <c r="C6" s="98" t="s">
        <v>350</v>
      </c>
      <c r="D6" s="98" t="s">
        <v>351</v>
      </c>
      <c r="E6" s="98" t="s">
        <v>352</v>
      </c>
      <c r="F6" s="97" t="s">
        <v>353</v>
      </c>
      <c r="G6" s="99" t="s">
        <v>354</v>
      </c>
      <c r="H6" s="100"/>
      <c r="I6" s="100" t="e">
        <f t="shared" ref="I6:I20" si="0">H6*D6/18</f>
        <v>#VALUE!</v>
      </c>
    </row>
    <row r="7" s="87" customFormat="1" ht="112" spans="1:9">
      <c r="A7" s="96" t="s">
        <v>355</v>
      </c>
      <c r="B7" s="97" t="s">
        <v>356</v>
      </c>
      <c r="C7" s="98" t="s">
        <v>350</v>
      </c>
      <c r="D7" s="98">
        <v>15</v>
      </c>
      <c r="E7" s="98" t="s">
        <v>357</v>
      </c>
      <c r="F7" s="546" t="s">
        <v>358</v>
      </c>
      <c r="G7" s="547" t="s">
        <v>358</v>
      </c>
      <c r="H7" s="101"/>
      <c r="I7" s="101">
        <f t="shared" si="0"/>
        <v>0</v>
      </c>
    </row>
    <row r="8" s="87" customFormat="1" ht="84" spans="1:9">
      <c r="A8" s="96" t="s">
        <v>359</v>
      </c>
      <c r="B8" s="97" t="s">
        <v>360</v>
      </c>
      <c r="C8" s="98" t="s">
        <v>361</v>
      </c>
      <c r="D8" s="98">
        <v>15</v>
      </c>
      <c r="E8" s="98" t="s">
        <v>357</v>
      </c>
      <c r="F8" s="546" t="s">
        <v>358</v>
      </c>
      <c r="G8" s="547" t="s">
        <v>358</v>
      </c>
      <c r="H8" s="101"/>
      <c r="I8" s="101">
        <f t="shared" si="0"/>
        <v>0</v>
      </c>
    </row>
    <row r="9" s="87" customFormat="1" ht="112" spans="1:9">
      <c r="A9" s="96" t="s">
        <v>362</v>
      </c>
      <c r="B9" s="97" t="s">
        <v>363</v>
      </c>
      <c r="C9" s="98" t="s">
        <v>361</v>
      </c>
      <c r="D9" s="98">
        <v>10</v>
      </c>
      <c r="E9" s="98" t="s">
        <v>364</v>
      </c>
      <c r="F9" s="546" t="s">
        <v>358</v>
      </c>
      <c r="G9" s="547" t="s">
        <v>358</v>
      </c>
      <c r="H9" s="101"/>
      <c r="I9" s="101">
        <f t="shared" si="0"/>
        <v>0</v>
      </c>
    </row>
    <row r="10" s="87" customFormat="1" ht="112" spans="1:9">
      <c r="A10" s="96" t="s">
        <v>365</v>
      </c>
      <c r="B10" s="97" t="s">
        <v>366</v>
      </c>
      <c r="C10" s="98" t="s">
        <v>367</v>
      </c>
      <c r="D10" s="98">
        <v>30</v>
      </c>
      <c r="E10" s="98" t="s">
        <v>368</v>
      </c>
      <c r="F10" s="546" t="s">
        <v>358</v>
      </c>
      <c r="G10" s="547" t="s">
        <v>358</v>
      </c>
      <c r="H10" s="101"/>
      <c r="I10" s="101">
        <f t="shared" si="0"/>
        <v>0</v>
      </c>
    </row>
    <row r="11" s="87" customFormat="1" ht="112" spans="1:9">
      <c r="A11" s="96" t="s">
        <v>369</v>
      </c>
      <c r="B11" s="97" t="s">
        <v>370</v>
      </c>
      <c r="C11" s="98" t="s">
        <v>367</v>
      </c>
      <c r="D11" s="98">
        <v>120</v>
      </c>
      <c r="E11" s="98" t="s">
        <v>371</v>
      </c>
      <c r="F11" s="546" t="s">
        <v>358</v>
      </c>
      <c r="G11" s="547" t="s">
        <v>358</v>
      </c>
      <c r="H11" s="101"/>
      <c r="I11" s="101">
        <f t="shared" si="0"/>
        <v>0</v>
      </c>
    </row>
    <row r="12" s="87" customFormat="1" ht="56" spans="1:9">
      <c r="A12" s="96" t="s">
        <v>372</v>
      </c>
      <c r="B12" s="97" t="s">
        <v>373</v>
      </c>
      <c r="C12" s="98" t="s">
        <v>367</v>
      </c>
      <c r="D12" s="98">
        <v>52</v>
      </c>
      <c r="E12" s="98" t="s">
        <v>374</v>
      </c>
      <c r="F12" s="546" t="s">
        <v>358</v>
      </c>
      <c r="G12" s="547" t="s">
        <v>358</v>
      </c>
      <c r="H12" s="101"/>
      <c r="I12" s="101">
        <f t="shared" si="0"/>
        <v>0</v>
      </c>
    </row>
    <row r="13" s="87" customFormat="1" ht="112" spans="1:9">
      <c r="A13" s="96" t="s">
        <v>375</v>
      </c>
      <c r="B13" s="97" t="s">
        <v>376</v>
      </c>
      <c r="C13" s="98" t="s">
        <v>361</v>
      </c>
      <c r="D13" s="98">
        <v>80</v>
      </c>
      <c r="E13" s="98" t="s">
        <v>377</v>
      </c>
      <c r="F13" s="546" t="s">
        <v>358</v>
      </c>
      <c r="G13" s="547" t="s">
        <v>358</v>
      </c>
      <c r="H13" s="101"/>
      <c r="I13" s="101">
        <f t="shared" si="0"/>
        <v>0</v>
      </c>
    </row>
    <row r="14" s="87" customFormat="1" ht="98" spans="1:9">
      <c r="A14" s="96" t="s">
        <v>378</v>
      </c>
      <c r="B14" s="97" t="s">
        <v>379</v>
      </c>
      <c r="C14" s="98" t="s">
        <v>367</v>
      </c>
      <c r="D14" s="98">
        <v>15</v>
      </c>
      <c r="E14" s="98" t="s">
        <v>357</v>
      </c>
      <c r="F14" s="546" t="s">
        <v>358</v>
      </c>
      <c r="G14" s="547" t="s">
        <v>358</v>
      </c>
      <c r="H14" s="101"/>
      <c r="I14" s="101">
        <f t="shared" si="0"/>
        <v>0</v>
      </c>
    </row>
    <row r="15" s="87" customFormat="1" spans="1:9">
      <c r="A15" s="96" t="s">
        <v>380</v>
      </c>
      <c r="B15" s="97" t="s">
        <v>381</v>
      </c>
      <c r="C15" s="98" t="s">
        <v>382</v>
      </c>
      <c r="D15" s="98">
        <v>10</v>
      </c>
      <c r="E15" s="98" t="s">
        <v>364</v>
      </c>
      <c r="F15" s="546" t="s">
        <v>358</v>
      </c>
      <c r="G15" s="547" t="s">
        <v>358</v>
      </c>
      <c r="H15" s="101"/>
      <c r="I15" s="101">
        <f t="shared" si="0"/>
        <v>0</v>
      </c>
    </row>
    <row r="16" s="87" customFormat="1" ht="78" customHeight="1" spans="1:9">
      <c r="A16" s="96" t="s">
        <v>383</v>
      </c>
      <c r="B16" s="97" t="s">
        <v>384</v>
      </c>
      <c r="C16" s="98" t="s">
        <v>385</v>
      </c>
      <c r="D16" s="98">
        <v>10</v>
      </c>
      <c r="E16" s="98" t="s">
        <v>364</v>
      </c>
      <c r="F16" s="546" t="s">
        <v>358</v>
      </c>
      <c r="G16" s="547" t="s">
        <v>358</v>
      </c>
      <c r="H16" s="101"/>
      <c r="I16" s="101">
        <f t="shared" si="0"/>
        <v>0</v>
      </c>
    </row>
    <row r="17" s="87" customFormat="1" ht="28" spans="1:9">
      <c r="A17" s="96" t="s">
        <v>386</v>
      </c>
      <c r="B17" s="97" t="s">
        <v>387</v>
      </c>
      <c r="C17" s="98" t="s">
        <v>388</v>
      </c>
      <c r="D17" s="98">
        <v>36</v>
      </c>
      <c r="E17" s="98" t="s">
        <v>389</v>
      </c>
      <c r="F17" s="546" t="s">
        <v>358</v>
      </c>
      <c r="G17" s="547" t="s">
        <v>358</v>
      </c>
      <c r="H17" s="101"/>
      <c r="I17" s="101">
        <f t="shared" si="0"/>
        <v>0</v>
      </c>
    </row>
    <row r="18" s="87" customFormat="1" ht="42" spans="1:9">
      <c r="A18" s="96" t="s">
        <v>390</v>
      </c>
      <c r="B18" s="97" t="s">
        <v>391</v>
      </c>
      <c r="C18" s="98" t="s">
        <v>392</v>
      </c>
      <c r="D18" s="98">
        <v>13</v>
      </c>
      <c r="E18" s="98" t="s">
        <v>393</v>
      </c>
      <c r="F18" s="546" t="s">
        <v>358</v>
      </c>
      <c r="G18" s="547" t="s">
        <v>358</v>
      </c>
      <c r="H18" s="101"/>
      <c r="I18" s="101">
        <f t="shared" si="0"/>
        <v>0</v>
      </c>
    </row>
    <row r="19" s="87" customFormat="1" ht="98" spans="1:9">
      <c r="A19" s="96" t="s">
        <v>394</v>
      </c>
      <c r="B19" s="102" t="s">
        <v>395</v>
      </c>
      <c r="C19" s="103" t="s">
        <v>396</v>
      </c>
      <c r="D19" s="103">
        <v>20</v>
      </c>
      <c r="E19" s="103" t="s">
        <v>397</v>
      </c>
      <c r="F19" s="548" t="s">
        <v>358</v>
      </c>
      <c r="G19" s="549" t="s">
        <v>358</v>
      </c>
      <c r="H19" s="101"/>
      <c r="I19" s="101">
        <f t="shared" si="0"/>
        <v>0</v>
      </c>
    </row>
    <row r="20" s="87" customFormat="1" ht="98" spans="1:9">
      <c r="A20" s="105" t="s">
        <v>398</v>
      </c>
      <c r="B20" s="97" t="s">
        <v>399</v>
      </c>
      <c r="C20" s="98" t="s">
        <v>400</v>
      </c>
      <c r="D20" s="98">
        <v>20</v>
      </c>
      <c r="E20" s="98" t="s">
        <v>397</v>
      </c>
      <c r="F20" s="546" t="s">
        <v>358</v>
      </c>
      <c r="G20" s="547" t="s">
        <v>358</v>
      </c>
      <c r="H20" s="101"/>
      <c r="I20" s="101">
        <f t="shared" si="0"/>
        <v>0</v>
      </c>
    </row>
    <row r="21" s="87" customFormat="1" spans="1:9">
      <c r="A21" s="96" t="s">
        <v>401</v>
      </c>
      <c r="B21" s="106" t="s">
        <v>402</v>
      </c>
      <c r="C21" s="107" t="s">
        <v>403</v>
      </c>
      <c r="D21" s="107">
        <v>60</v>
      </c>
      <c r="E21" s="107">
        <v>720</v>
      </c>
      <c r="F21" s="106" t="s">
        <v>404</v>
      </c>
      <c r="G21" s="108" t="s">
        <v>405</v>
      </c>
      <c r="H21" s="101"/>
      <c r="I21" s="101" t="e">
        <f>#REF!*#REF!/18</f>
        <v>#REF!</v>
      </c>
    </row>
    <row r="22" s="87" customFormat="1" ht="70" spans="1:9">
      <c r="A22" s="96">
        <v>18</v>
      </c>
      <c r="B22" s="97" t="s">
        <v>406</v>
      </c>
      <c r="C22" s="98" t="s">
        <v>407</v>
      </c>
      <c r="D22" s="98">
        <v>10</v>
      </c>
      <c r="E22" s="98" t="s">
        <v>364</v>
      </c>
      <c r="F22" s="546" t="s">
        <v>358</v>
      </c>
      <c r="G22" s="547" t="s">
        <v>358</v>
      </c>
      <c r="H22" s="101"/>
      <c r="I22" s="101">
        <f t="shared" ref="I22:I29" si="1">H22*D22/18</f>
        <v>0</v>
      </c>
    </row>
    <row r="23" s="87" customFormat="1" ht="28" spans="1:9">
      <c r="A23" s="96">
        <v>19</v>
      </c>
      <c r="B23" s="97" t="s">
        <v>408</v>
      </c>
      <c r="C23" s="98" t="s">
        <v>409</v>
      </c>
      <c r="D23" s="98">
        <v>40</v>
      </c>
      <c r="E23" s="98" t="s">
        <v>410</v>
      </c>
      <c r="F23" s="546" t="s">
        <v>358</v>
      </c>
      <c r="G23" s="547" t="s">
        <v>358</v>
      </c>
      <c r="H23" s="101"/>
      <c r="I23" s="101">
        <f t="shared" si="1"/>
        <v>0</v>
      </c>
    </row>
    <row r="24" s="87" customFormat="1" ht="28" spans="1:9">
      <c r="A24" s="96">
        <v>20</v>
      </c>
      <c r="B24" s="97" t="s">
        <v>411</v>
      </c>
      <c r="C24" s="98" t="s">
        <v>361</v>
      </c>
      <c r="D24" s="98">
        <v>50</v>
      </c>
      <c r="E24" s="98" t="s">
        <v>412</v>
      </c>
      <c r="F24" s="546" t="s">
        <v>358</v>
      </c>
      <c r="G24" s="547" t="s">
        <v>358</v>
      </c>
      <c r="H24" s="101"/>
      <c r="I24" s="101">
        <f t="shared" si="1"/>
        <v>0</v>
      </c>
    </row>
    <row r="25" s="87" customFormat="1" ht="155.25" customHeight="1" spans="1:9">
      <c r="A25" s="96">
        <v>21</v>
      </c>
      <c r="B25" s="97" t="s">
        <v>413</v>
      </c>
      <c r="C25" s="98" t="s">
        <v>414</v>
      </c>
      <c r="D25" s="98">
        <v>15</v>
      </c>
      <c r="E25" s="98" t="s">
        <v>357</v>
      </c>
      <c r="F25" s="546" t="s">
        <v>358</v>
      </c>
      <c r="G25" s="547" t="s">
        <v>358</v>
      </c>
      <c r="H25" s="101"/>
      <c r="I25" s="101">
        <f t="shared" si="1"/>
        <v>0</v>
      </c>
    </row>
    <row r="26" s="87" customFormat="1" ht="98" spans="1:9">
      <c r="A26" s="109">
        <v>22</v>
      </c>
      <c r="B26" s="97" t="s">
        <v>415</v>
      </c>
      <c r="C26" s="98" t="s">
        <v>414</v>
      </c>
      <c r="D26" s="98">
        <v>15</v>
      </c>
      <c r="E26" s="98" t="s">
        <v>357</v>
      </c>
      <c r="F26" s="546" t="s">
        <v>358</v>
      </c>
      <c r="G26" s="547" t="s">
        <v>358</v>
      </c>
      <c r="H26" s="101"/>
      <c r="I26" s="101">
        <f t="shared" si="1"/>
        <v>0</v>
      </c>
    </row>
    <row r="27" s="87" customFormat="1" ht="98" spans="1:9">
      <c r="A27" s="96" t="s">
        <v>416</v>
      </c>
      <c r="B27" s="97" t="s">
        <v>417</v>
      </c>
      <c r="C27" s="98" t="s">
        <v>414</v>
      </c>
      <c r="D27" s="98">
        <v>20</v>
      </c>
      <c r="E27" s="98" t="s">
        <v>397</v>
      </c>
      <c r="F27" s="546" t="s">
        <v>358</v>
      </c>
      <c r="G27" s="547" t="s">
        <v>358</v>
      </c>
      <c r="H27" s="101"/>
      <c r="I27" s="101">
        <f t="shared" si="1"/>
        <v>0</v>
      </c>
    </row>
    <row r="28" s="87" customFormat="1" ht="168" spans="1:9">
      <c r="A28" s="96" t="s">
        <v>418</v>
      </c>
      <c r="B28" s="97" t="s">
        <v>419</v>
      </c>
      <c r="C28" s="98" t="s">
        <v>367</v>
      </c>
      <c r="D28" s="98">
        <v>8</v>
      </c>
      <c r="E28" s="98" t="s">
        <v>420</v>
      </c>
      <c r="F28" s="546" t="s">
        <v>358</v>
      </c>
      <c r="G28" s="547" t="s">
        <v>358</v>
      </c>
      <c r="H28" s="101"/>
      <c r="I28" s="101">
        <f t="shared" si="1"/>
        <v>0</v>
      </c>
    </row>
    <row r="29" s="87" customFormat="1" ht="28" spans="1:9">
      <c r="A29" s="96" t="s">
        <v>421</v>
      </c>
      <c r="B29" s="97" t="s">
        <v>422</v>
      </c>
      <c r="C29" s="98" t="s">
        <v>423</v>
      </c>
      <c r="D29" s="98">
        <v>120</v>
      </c>
      <c r="E29" s="98" t="s">
        <v>371</v>
      </c>
      <c r="F29" s="546" t="s">
        <v>358</v>
      </c>
      <c r="G29" s="547" t="s">
        <v>358</v>
      </c>
      <c r="H29" s="101"/>
      <c r="I29" s="128">
        <f t="shared" si="1"/>
        <v>0</v>
      </c>
    </row>
    <row r="30" s="87" customFormat="1" ht="15" spans="1:9">
      <c r="A30" s="110" t="s">
        <v>424</v>
      </c>
      <c r="B30" s="111"/>
      <c r="C30" s="111"/>
      <c r="D30" s="111"/>
      <c r="E30" s="111"/>
      <c r="F30" s="111"/>
      <c r="G30" s="111"/>
      <c r="H30" s="111"/>
      <c r="I30" s="90" t="e">
        <f>SUM(I6:I29)</f>
        <v>#VALUE!</v>
      </c>
    </row>
    <row r="32" s="87" customFormat="1" ht="15" customHeight="1"/>
    <row r="33" s="87" customFormat="1" spans="1:6">
      <c r="A33" s="112"/>
      <c r="B33" s="113"/>
      <c r="F33" s="113"/>
    </row>
    <row r="34" s="87" customFormat="1" spans="1:6">
      <c r="A34" s="112"/>
      <c r="B34" s="113"/>
      <c r="F34" s="113"/>
    </row>
    <row r="35" s="87" customFormat="1" spans="1:6">
      <c r="A35" s="112"/>
      <c r="B35" s="113"/>
      <c r="F35" s="113"/>
    </row>
    <row r="36" s="87" customFormat="1" spans="1:6">
      <c r="A36" s="112"/>
      <c r="B36" s="113"/>
      <c r="F36" s="113"/>
    </row>
    <row r="37" s="87" customFormat="1" ht="15.75" customHeight="1" spans="1:6">
      <c r="A37" s="89" t="s">
        <v>425</v>
      </c>
      <c r="B37" s="89"/>
      <c r="C37" s="89"/>
      <c r="D37" s="89"/>
      <c r="E37" s="89"/>
      <c r="F37" s="89"/>
    </row>
    <row r="38" s="87" customFormat="1" ht="15.75" customHeight="1" spans="1:6">
      <c r="A38" s="90" t="s">
        <v>426</v>
      </c>
      <c r="B38" s="90"/>
      <c r="C38" s="90"/>
      <c r="D38" s="90"/>
      <c r="E38" s="90"/>
      <c r="F38" s="90"/>
    </row>
    <row r="39" s="87" customFormat="1" ht="28" spans="1:6">
      <c r="A39" s="114" t="s">
        <v>339</v>
      </c>
      <c r="B39" s="115" t="s">
        <v>340</v>
      </c>
      <c r="C39" s="116" t="s">
        <v>341</v>
      </c>
      <c r="D39" s="116" t="s">
        <v>427</v>
      </c>
      <c r="E39" s="93" t="s">
        <v>346</v>
      </c>
      <c r="F39" s="93" t="s">
        <v>347</v>
      </c>
    </row>
    <row r="40" s="87" customFormat="1" ht="112" spans="1:6">
      <c r="A40" s="117" t="s">
        <v>348</v>
      </c>
      <c r="B40" s="115" t="s">
        <v>428</v>
      </c>
      <c r="C40" s="118" t="s">
        <v>429</v>
      </c>
      <c r="D40" s="118">
        <v>300</v>
      </c>
      <c r="E40" s="118"/>
      <c r="F40" s="119">
        <f t="shared" ref="F40:F58" si="2">E40*D40/120/18</f>
        <v>0</v>
      </c>
    </row>
    <row r="41" s="87" customFormat="1" ht="56" spans="1:6">
      <c r="A41" s="117" t="s">
        <v>355</v>
      </c>
      <c r="B41" s="119" t="s">
        <v>430</v>
      </c>
      <c r="C41" s="118" t="s">
        <v>431</v>
      </c>
      <c r="D41" s="118">
        <v>260</v>
      </c>
      <c r="E41" s="118"/>
      <c r="F41" s="119">
        <f t="shared" si="2"/>
        <v>0</v>
      </c>
    </row>
    <row r="42" s="87" customFormat="1" ht="42" spans="1:6">
      <c r="A42" s="114" t="s">
        <v>359</v>
      </c>
      <c r="B42" s="115" t="s">
        <v>432</v>
      </c>
      <c r="C42" s="116" t="s">
        <v>431</v>
      </c>
      <c r="D42" s="116">
        <v>24</v>
      </c>
      <c r="E42" s="116"/>
      <c r="F42" s="119">
        <f t="shared" si="2"/>
        <v>0</v>
      </c>
    </row>
    <row r="43" s="87" customFormat="1" ht="42" spans="1:6">
      <c r="A43" s="114" t="s">
        <v>362</v>
      </c>
      <c r="B43" s="115" t="s">
        <v>433</v>
      </c>
      <c r="C43" s="116" t="s">
        <v>431</v>
      </c>
      <c r="D43" s="120">
        <v>1800</v>
      </c>
      <c r="E43" s="116"/>
      <c r="F43" s="119">
        <f t="shared" si="2"/>
        <v>0</v>
      </c>
    </row>
    <row r="44" s="87" customFormat="1" ht="56" spans="1:6">
      <c r="A44" s="114" t="s">
        <v>369</v>
      </c>
      <c r="B44" s="115" t="s">
        <v>434</v>
      </c>
      <c r="C44" s="116" t="s">
        <v>431</v>
      </c>
      <c r="D44" s="116">
        <v>20</v>
      </c>
      <c r="E44" s="116"/>
      <c r="F44" s="119">
        <f t="shared" si="2"/>
        <v>0</v>
      </c>
    </row>
    <row r="45" s="87" customFormat="1" spans="1:6">
      <c r="A45" s="114" t="s">
        <v>372</v>
      </c>
      <c r="B45" s="115" t="s">
        <v>435</v>
      </c>
      <c r="C45" s="116" t="s">
        <v>431</v>
      </c>
      <c r="D45" s="116">
        <v>50</v>
      </c>
      <c r="E45" s="116"/>
      <c r="F45" s="119">
        <f t="shared" si="2"/>
        <v>0</v>
      </c>
    </row>
    <row r="46" s="87" customFormat="1" ht="70" spans="1:6">
      <c r="A46" s="117" t="s">
        <v>375</v>
      </c>
      <c r="B46" s="119" t="s">
        <v>436</v>
      </c>
      <c r="C46" s="118" t="s">
        <v>431</v>
      </c>
      <c r="D46" s="118">
        <v>100</v>
      </c>
      <c r="E46" s="118"/>
      <c r="F46" s="119">
        <f t="shared" si="2"/>
        <v>0</v>
      </c>
    </row>
    <row r="47" s="87" customFormat="1" spans="1:6">
      <c r="A47" s="114" t="s">
        <v>378</v>
      </c>
      <c r="B47" s="115" t="s">
        <v>437</v>
      </c>
      <c r="C47" s="116" t="s">
        <v>431</v>
      </c>
      <c r="D47" s="116">
        <v>120</v>
      </c>
      <c r="E47" s="116"/>
      <c r="F47" s="119">
        <f t="shared" si="2"/>
        <v>0</v>
      </c>
    </row>
    <row r="48" s="87" customFormat="1" ht="28" spans="1:6">
      <c r="A48" s="114" t="s">
        <v>380</v>
      </c>
      <c r="B48" s="115" t="s">
        <v>438</v>
      </c>
      <c r="C48" s="116" t="s">
        <v>431</v>
      </c>
      <c r="D48" s="116">
        <v>500</v>
      </c>
      <c r="E48" s="116"/>
      <c r="F48" s="119">
        <f t="shared" si="2"/>
        <v>0</v>
      </c>
    </row>
    <row r="49" s="87" customFormat="1" ht="98" spans="1:6">
      <c r="A49" s="121" t="s">
        <v>383</v>
      </c>
      <c r="B49" s="122" t="s">
        <v>439</v>
      </c>
      <c r="C49" s="123" t="s">
        <v>440</v>
      </c>
      <c r="D49" s="123">
        <v>20</v>
      </c>
      <c r="E49" s="123"/>
      <c r="F49" s="122">
        <f t="shared" si="2"/>
        <v>0</v>
      </c>
    </row>
    <row r="50" s="87" customFormat="1" ht="42" spans="1:6">
      <c r="A50" s="124" t="s">
        <v>386</v>
      </c>
      <c r="B50" s="125" t="s">
        <v>441</v>
      </c>
      <c r="C50" s="124" t="s">
        <v>431</v>
      </c>
      <c r="D50" s="124">
        <v>90</v>
      </c>
      <c r="E50" s="124"/>
      <c r="F50" s="125">
        <f t="shared" si="2"/>
        <v>0</v>
      </c>
    </row>
    <row r="51" s="87" customFormat="1" ht="28" spans="1:6">
      <c r="A51" s="117" t="s">
        <v>390</v>
      </c>
      <c r="B51" s="119" t="s">
        <v>442</v>
      </c>
      <c r="C51" s="118" t="s">
        <v>431</v>
      </c>
      <c r="D51" s="118">
        <v>540</v>
      </c>
      <c r="E51" s="118"/>
      <c r="F51" s="119">
        <f t="shared" si="2"/>
        <v>0</v>
      </c>
    </row>
    <row r="52" s="87" customFormat="1" ht="28" spans="1:6">
      <c r="A52" s="114" t="s">
        <v>398</v>
      </c>
      <c r="B52" s="115" t="s">
        <v>443</v>
      </c>
      <c r="C52" s="116" t="s">
        <v>431</v>
      </c>
      <c r="D52" s="116">
        <v>360</v>
      </c>
      <c r="E52" s="116"/>
      <c r="F52" s="119">
        <f t="shared" si="2"/>
        <v>0</v>
      </c>
    </row>
    <row r="53" s="87" customFormat="1" ht="28" spans="1:6">
      <c r="A53" s="114" t="s">
        <v>401</v>
      </c>
      <c r="B53" s="115" t="s">
        <v>444</v>
      </c>
      <c r="C53" s="116" t="s">
        <v>431</v>
      </c>
      <c r="D53" s="116">
        <v>360</v>
      </c>
      <c r="E53" s="116"/>
      <c r="F53" s="119">
        <f t="shared" si="2"/>
        <v>0</v>
      </c>
    </row>
    <row r="54" s="87" customFormat="1" ht="56" spans="1:6">
      <c r="A54" s="117" t="s">
        <v>445</v>
      </c>
      <c r="B54" s="119" t="s">
        <v>446</v>
      </c>
      <c r="C54" s="118" t="s">
        <v>431</v>
      </c>
      <c r="D54" s="118">
        <v>180</v>
      </c>
      <c r="E54" s="118"/>
      <c r="F54" s="119">
        <f t="shared" si="2"/>
        <v>0</v>
      </c>
    </row>
    <row r="55" s="87" customFormat="1" ht="28" spans="1:6">
      <c r="A55" s="117" t="s">
        <v>447</v>
      </c>
      <c r="B55" s="119" t="s">
        <v>448</v>
      </c>
      <c r="C55" s="118" t="s">
        <v>431</v>
      </c>
      <c r="D55" s="118">
        <v>360</v>
      </c>
      <c r="E55" s="118"/>
      <c r="F55" s="119">
        <f t="shared" si="2"/>
        <v>0</v>
      </c>
    </row>
    <row r="56" s="87" customFormat="1" spans="1:6">
      <c r="A56" s="124" t="s">
        <v>449</v>
      </c>
      <c r="B56" s="125" t="s">
        <v>450</v>
      </c>
      <c r="C56" s="124" t="s">
        <v>451</v>
      </c>
      <c r="D56" s="98">
        <v>600</v>
      </c>
      <c r="E56" s="98"/>
      <c r="F56" s="119">
        <f t="shared" si="2"/>
        <v>0</v>
      </c>
    </row>
    <row r="57" s="87" customFormat="1" ht="28" spans="1:6">
      <c r="A57" s="98" t="s">
        <v>452</v>
      </c>
      <c r="B57" s="97" t="s">
        <v>453</v>
      </c>
      <c r="C57" s="98" t="s">
        <v>451</v>
      </c>
      <c r="D57" s="98">
        <v>540</v>
      </c>
      <c r="E57" s="98"/>
      <c r="F57" s="119">
        <f t="shared" si="2"/>
        <v>0</v>
      </c>
    </row>
    <row r="58" s="87" customFormat="1" ht="42" spans="1:6">
      <c r="A58" s="98" t="s">
        <v>416</v>
      </c>
      <c r="B58" s="97" t="s">
        <v>454</v>
      </c>
      <c r="C58" s="98" t="s">
        <v>367</v>
      </c>
      <c r="D58" s="126">
        <v>1560</v>
      </c>
      <c r="E58" s="98"/>
      <c r="F58" s="119">
        <f t="shared" si="2"/>
        <v>0</v>
      </c>
    </row>
    <row r="59" s="87" customFormat="1" ht="15" customHeight="1" spans="1:6">
      <c r="A59" s="110" t="s">
        <v>424</v>
      </c>
      <c r="B59" s="111"/>
      <c r="C59" s="111"/>
      <c r="D59" s="111"/>
      <c r="E59" s="111"/>
      <c r="F59" s="90">
        <f>SUM(F40:F58)</f>
        <v>0</v>
      </c>
    </row>
    <row r="60" s="87" customFormat="1" spans="1:6">
      <c r="A60" s="127" t="s">
        <v>455</v>
      </c>
      <c r="B60" s="113"/>
      <c r="F60" s="113"/>
    </row>
    <row r="61" s="87" customFormat="1" ht="15" spans="1:6">
      <c r="A61" s="110" t="s">
        <v>456</v>
      </c>
      <c r="B61" s="111"/>
      <c r="C61" s="111"/>
      <c r="D61" s="111"/>
      <c r="E61" s="111"/>
      <c r="F61" s="90" t="e">
        <f>SUM(I30,F59)</f>
        <v>#VALUE!</v>
      </c>
    </row>
  </sheetData>
  <mergeCells count="8">
    <mergeCell ref="A1:I1"/>
    <mergeCell ref="A3:I3"/>
    <mergeCell ref="A4:I4"/>
    <mergeCell ref="A30:H30"/>
    <mergeCell ref="A37:F37"/>
    <mergeCell ref="A38:F38"/>
    <mergeCell ref="A59:E59"/>
    <mergeCell ref="A61:E61"/>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8"/>
  <sheetViews>
    <sheetView showGridLines="0" tabSelected="1" zoomScale="90" zoomScaleNormal="90" topLeftCell="A130" workbookViewId="0">
      <selection activeCell="G7" sqref="G7"/>
    </sheetView>
  </sheetViews>
  <sheetFormatPr defaultColWidth="9" defaultRowHeight="15.5" outlineLevelCol="3"/>
  <cols>
    <col min="1" max="1" width="9.13636363636364" style="61"/>
    <col min="2" max="2" width="72.1363636363636" style="61" customWidth="1"/>
    <col min="3" max="3" width="18" style="61" customWidth="1"/>
    <col min="4" max="4" width="14.2818181818182" style="61" customWidth="1"/>
    <col min="5" max="5" width="12.7090909090909" style="61" customWidth="1"/>
    <col min="6" max="6" width="12" style="61" customWidth="1"/>
    <col min="7" max="7" width="15.1363636363636" style="61" customWidth="1"/>
    <col min="8" max="16384" width="9.13636363636364" style="61"/>
  </cols>
  <sheetData>
    <row r="1" ht="67.5" customHeight="1" spans="1:4">
      <c r="A1" s="62" t="s">
        <v>115</v>
      </c>
      <c r="B1" s="62"/>
      <c r="C1" s="62"/>
      <c r="D1" s="62"/>
    </row>
    <row r="3" ht="20" spans="1:4">
      <c r="A3" s="62" t="s">
        <v>116</v>
      </c>
      <c r="B3" s="62"/>
      <c r="C3" s="62"/>
      <c r="D3" s="62"/>
    </row>
    <row r="5" ht="23" spans="1:4">
      <c r="A5" s="63" t="s">
        <v>117</v>
      </c>
      <c r="B5" s="63"/>
      <c r="C5" s="63"/>
      <c r="D5" s="63"/>
    </row>
    <row r="6" ht="23" spans="1:4">
      <c r="A6" s="63" t="s">
        <v>457</v>
      </c>
      <c r="B6" s="63"/>
      <c r="C6" s="63"/>
      <c r="D6" s="63"/>
    </row>
    <row r="7" spans="1:4">
      <c r="A7" s="64" t="s">
        <v>458</v>
      </c>
      <c r="B7" s="64"/>
      <c r="C7" s="64"/>
      <c r="D7" s="64"/>
    </row>
    <row r="10" spans="1:3">
      <c r="A10" s="65" t="s">
        <v>459</v>
      </c>
      <c r="B10" s="65"/>
      <c r="C10" s="65"/>
    </row>
    <row r="12" ht="15.75" spans="1:3">
      <c r="A12" s="66">
        <v>1</v>
      </c>
      <c r="B12" s="67" t="s">
        <v>460</v>
      </c>
      <c r="C12" s="67" t="s">
        <v>461</v>
      </c>
    </row>
    <row r="13" ht="16.25" spans="1:3">
      <c r="A13" s="68" t="s">
        <v>462</v>
      </c>
      <c r="B13" s="69" t="s">
        <v>463</v>
      </c>
      <c r="C13" s="70">
        <f>'Custo por trabalhador Servente'!B16</f>
        <v>1536.43</v>
      </c>
    </row>
    <row r="14" ht="16.25" spans="1:3">
      <c r="A14" s="68" t="s">
        <v>464</v>
      </c>
      <c r="B14" s="69" t="s">
        <v>465</v>
      </c>
      <c r="C14" s="70">
        <f>'Custo por trabalhador Servente'!D34</f>
        <v>0</v>
      </c>
    </row>
    <row r="15" ht="16.25" spans="1:3">
      <c r="A15" s="68" t="s">
        <v>466</v>
      </c>
      <c r="B15" s="69" t="s">
        <v>467</v>
      </c>
      <c r="C15" s="70" t="s">
        <v>61</v>
      </c>
    </row>
    <row r="16" ht="16.25" spans="1:3">
      <c r="A16" s="68" t="s">
        <v>468</v>
      </c>
      <c r="B16" s="69" t="s">
        <v>146</v>
      </c>
      <c r="C16" s="70" t="s">
        <v>61</v>
      </c>
    </row>
    <row r="17" ht="16.25" spans="1:3">
      <c r="A17" s="68" t="s">
        <v>469</v>
      </c>
      <c r="B17" s="69" t="s">
        <v>470</v>
      </c>
      <c r="C17" s="70" t="s">
        <v>61</v>
      </c>
    </row>
    <row r="18" ht="16.25" spans="1:3">
      <c r="A18" s="68"/>
      <c r="B18" s="69"/>
      <c r="C18" s="70"/>
    </row>
    <row r="19" ht="16.25" spans="1:3">
      <c r="A19" s="68" t="s">
        <v>471</v>
      </c>
      <c r="B19" s="69" t="s">
        <v>472</v>
      </c>
      <c r="C19" s="70" t="s">
        <v>61</v>
      </c>
    </row>
    <row r="20" ht="16.25" spans="1:3">
      <c r="A20" s="71" t="s">
        <v>155</v>
      </c>
      <c r="B20" s="67"/>
      <c r="C20" s="70">
        <f>'Custo por trabalhador Servente'!F76</f>
        <v>1536.43</v>
      </c>
    </row>
    <row r="23" spans="1:3">
      <c r="A23" s="65" t="s">
        <v>473</v>
      </c>
      <c r="B23" s="65"/>
      <c r="C23" s="65"/>
    </row>
    <row r="24" spans="1:1">
      <c r="A24" s="72"/>
    </row>
    <row r="25" spans="1:3">
      <c r="A25" s="73" t="s">
        <v>474</v>
      </c>
      <c r="B25" s="73"/>
      <c r="C25" s="73"/>
    </row>
    <row r="27" ht="15.75" spans="1:3">
      <c r="A27" s="66" t="s">
        <v>475</v>
      </c>
      <c r="B27" s="67" t="s">
        <v>476</v>
      </c>
      <c r="C27" s="67" t="s">
        <v>461</v>
      </c>
    </row>
    <row r="28" ht="16.25" spans="1:3">
      <c r="A28" s="68" t="s">
        <v>462</v>
      </c>
      <c r="B28" s="69" t="s">
        <v>477</v>
      </c>
      <c r="C28" s="74">
        <f>'Custo por trabalhador Servente'!B116</f>
        <v>128.035833333333</v>
      </c>
    </row>
    <row r="29" ht="16.25" spans="1:3">
      <c r="A29" s="68" t="s">
        <v>464</v>
      </c>
      <c r="B29" s="69" t="s">
        <v>478</v>
      </c>
      <c r="C29" s="74">
        <f>'Custo por trabalhador Servente'!C116+'Custo por trabalhador Servente'!D116</f>
        <v>170.714444444444</v>
      </c>
    </row>
    <row r="30" ht="16.25" spans="1:3">
      <c r="A30" s="71" t="s">
        <v>155</v>
      </c>
      <c r="B30" s="67"/>
      <c r="C30" s="74">
        <f>'Custo por trabalhador Servente'!E116</f>
        <v>298.750277777778</v>
      </c>
    </row>
    <row r="33" ht="32.25" customHeight="1" spans="1:4">
      <c r="A33" s="75" t="s">
        <v>479</v>
      </c>
      <c r="B33" s="75"/>
      <c r="C33" s="75"/>
      <c r="D33" s="75"/>
    </row>
    <row r="35" ht="15.75" spans="1:4">
      <c r="A35" s="66" t="s">
        <v>480</v>
      </c>
      <c r="B35" s="67" t="s">
        <v>481</v>
      </c>
      <c r="C35" s="67" t="s">
        <v>482</v>
      </c>
      <c r="D35" s="67" t="s">
        <v>461</v>
      </c>
    </row>
    <row r="36" ht="16.25" spans="1:4">
      <c r="A36" s="68" t="s">
        <v>462</v>
      </c>
      <c r="B36" s="69" t="s">
        <v>483</v>
      </c>
      <c r="C36" s="76">
        <v>0.2</v>
      </c>
      <c r="D36" s="70">
        <f>($C$20+$C$30)*C36</f>
        <v>367.036055555556</v>
      </c>
    </row>
    <row r="37" ht="16.25" spans="1:4">
      <c r="A37" s="68" t="s">
        <v>464</v>
      </c>
      <c r="B37" s="69" t="s">
        <v>484</v>
      </c>
      <c r="C37" s="76">
        <v>0.025</v>
      </c>
      <c r="D37" s="70">
        <f t="shared" ref="D37:D44" si="0">($C$20+$C$30)*C37</f>
        <v>45.8795069444445</v>
      </c>
    </row>
    <row r="38" ht="16.25" spans="1:4">
      <c r="A38" s="68" t="s">
        <v>466</v>
      </c>
      <c r="B38" s="69" t="s">
        <v>485</v>
      </c>
      <c r="C38" s="77">
        <v>0.03</v>
      </c>
      <c r="D38" s="70">
        <f t="shared" si="0"/>
        <v>55.0554083333333</v>
      </c>
    </row>
    <row r="39" ht="16.25" spans="1:4">
      <c r="A39" s="68" t="s">
        <v>468</v>
      </c>
      <c r="B39" s="69" t="s">
        <v>486</v>
      </c>
      <c r="C39" s="76">
        <v>0.015</v>
      </c>
      <c r="D39" s="70">
        <f t="shared" si="0"/>
        <v>27.5277041666667</v>
      </c>
    </row>
    <row r="40" ht="16.25" spans="1:4">
      <c r="A40" s="68" t="s">
        <v>469</v>
      </c>
      <c r="B40" s="69" t="s">
        <v>487</v>
      </c>
      <c r="C40" s="76">
        <v>0.01</v>
      </c>
      <c r="D40" s="70">
        <f t="shared" si="0"/>
        <v>18.3518027777778</v>
      </c>
    </row>
    <row r="41" ht="16.25" spans="1:4">
      <c r="A41" s="68" t="s">
        <v>488</v>
      </c>
      <c r="B41" s="69" t="s">
        <v>175</v>
      </c>
      <c r="C41" s="76">
        <v>0.006</v>
      </c>
      <c r="D41" s="70">
        <f t="shared" si="0"/>
        <v>11.0110816666667</v>
      </c>
    </row>
    <row r="42" ht="16.25" spans="1:4">
      <c r="A42" s="68" t="s">
        <v>471</v>
      </c>
      <c r="B42" s="69" t="s">
        <v>176</v>
      </c>
      <c r="C42" s="76">
        <v>0.002</v>
      </c>
      <c r="D42" s="70">
        <f t="shared" si="0"/>
        <v>3.67036055555556</v>
      </c>
    </row>
    <row r="43" ht="16.25" spans="1:4">
      <c r="A43" s="68" t="s">
        <v>489</v>
      </c>
      <c r="B43" s="69" t="s">
        <v>177</v>
      </c>
      <c r="C43" s="76">
        <v>0.08</v>
      </c>
      <c r="D43" s="70">
        <f t="shared" si="0"/>
        <v>146.814422222222</v>
      </c>
    </row>
    <row r="44" ht="16.25" spans="1:4">
      <c r="A44" s="71" t="s">
        <v>490</v>
      </c>
      <c r="B44" s="67"/>
      <c r="C44" s="76">
        <f>SUM(C35:C43)</f>
        <v>0.368</v>
      </c>
      <c r="D44" s="70">
        <f t="shared" si="0"/>
        <v>675.346342222222</v>
      </c>
    </row>
    <row r="47" spans="1:3">
      <c r="A47" s="73" t="s">
        <v>491</v>
      </c>
      <c r="B47" s="73"/>
      <c r="C47" s="73"/>
    </row>
    <row r="49" ht="15.75" spans="1:3">
      <c r="A49" s="66" t="s">
        <v>492</v>
      </c>
      <c r="B49" s="67" t="s">
        <v>493</v>
      </c>
      <c r="C49" s="67" t="s">
        <v>461</v>
      </c>
    </row>
    <row r="50" ht="16.25" spans="1:3">
      <c r="A50" s="68" t="s">
        <v>462</v>
      </c>
      <c r="B50" s="69" t="s">
        <v>494</v>
      </c>
      <c r="C50" s="78">
        <f>'Custo por trabalhador Servente'!D190</f>
        <v>0</v>
      </c>
    </row>
    <row r="51" ht="16.25" spans="1:3">
      <c r="A51" s="68" t="s">
        <v>464</v>
      </c>
      <c r="B51" s="69" t="s">
        <v>495</v>
      </c>
      <c r="C51" s="74">
        <f>'Custo por trabalhador Servente'!D219</f>
        <v>601.128</v>
      </c>
    </row>
    <row r="52" ht="16.25" spans="1:3">
      <c r="A52" s="68" t="s">
        <v>466</v>
      </c>
      <c r="B52" s="69" t="s">
        <v>496</v>
      </c>
      <c r="C52" s="74">
        <f>'Custo por trabalhador Servente'!D230</f>
        <v>106</v>
      </c>
    </row>
    <row r="53" ht="16.25" spans="1:3">
      <c r="A53" s="68" t="s">
        <v>468</v>
      </c>
      <c r="B53" s="69" t="s">
        <v>497</v>
      </c>
      <c r="C53" s="74">
        <f>'Custo por trabalhador Servente'!D238</f>
        <v>49.35</v>
      </c>
    </row>
    <row r="54" ht="16.25" spans="1:3">
      <c r="A54" s="68" t="s">
        <v>469</v>
      </c>
      <c r="B54" s="69" t="s">
        <v>212</v>
      </c>
      <c r="C54" s="74">
        <f>'Custo por trabalhador Servente'!D249</f>
        <v>129.395</v>
      </c>
    </row>
    <row r="55" ht="16.25" spans="1:3">
      <c r="A55" s="68" t="s">
        <v>488</v>
      </c>
      <c r="B55" s="69" t="s">
        <v>213</v>
      </c>
      <c r="C55" s="74">
        <f>'Custo por trabalhador Servente'!D257</f>
        <v>76.8215</v>
      </c>
    </row>
    <row r="56" ht="16.25" spans="1:3">
      <c r="A56" s="68" t="s">
        <v>471</v>
      </c>
      <c r="B56" s="69" t="s">
        <v>472</v>
      </c>
      <c r="C56" s="78"/>
    </row>
    <row r="57" ht="16.25" spans="1:3">
      <c r="A57" s="71" t="s">
        <v>155</v>
      </c>
      <c r="B57" s="67"/>
      <c r="C57" s="74">
        <f>'Custo por trabalhador Servente'!H266</f>
        <v>962.6945</v>
      </c>
    </row>
    <row r="60" spans="1:3">
      <c r="A60" s="73" t="s">
        <v>498</v>
      </c>
      <c r="B60" s="73"/>
      <c r="C60" s="73"/>
    </row>
    <row r="62" ht="15.75" spans="1:3">
      <c r="A62" s="66">
        <v>2</v>
      </c>
      <c r="B62" s="67" t="s">
        <v>499</v>
      </c>
      <c r="C62" s="67" t="s">
        <v>461</v>
      </c>
    </row>
    <row r="63" ht="16.25" spans="1:3">
      <c r="A63" s="68" t="s">
        <v>475</v>
      </c>
      <c r="B63" s="69" t="s">
        <v>476</v>
      </c>
      <c r="C63" s="74">
        <f>'Custo por trabalhador Servente'!B277</f>
        <v>298.750277777778</v>
      </c>
    </row>
    <row r="64" ht="16.25" spans="1:3">
      <c r="A64" s="68" t="s">
        <v>480</v>
      </c>
      <c r="B64" s="69" t="s">
        <v>481</v>
      </c>
      <c r="C64" s="74">
        <f>'Custo por trabalhador Servente'!C277</f>
        <v>675.346342222222</v>
      </c>
    </row>
    <row r="65" ht="16.25" spans="1:3">
      <c r="A65" s="68" t="s">
        <v>492</v>
      </c>
      <c r="B65" s="69" t="s">
        <v>493</v>
      </c>
      <c r="C65" s="74">
        <f>'Custo por trabalhador Servente'!D277</f>
        <v>962.6945</v>
      </c>
    </row>
    <row r="66" ht="16.25" spans="1:3">
      <c r="A66" s="71" t="s">
        <v>155</v>
      </c>
      <c r="B66" s="67"/>
      <c r="C66" s="70">
        <f>'Custo por trabalhador Servente'!E277</f>
        <v>1936.79112</v>
      </c>
    </row>
    <row r="67" spans="1:1">
      <c r="A67" s="79"/>
    </row>
    <row r="69" spans="1:3">
      <c r="A69" s="65" t="s">
        <v>500</v>
      </c>
      <c r="B69" s="65"/>
      <c r="C69" s="65"/>
    </row>
    <row r="71" ht="15.75" spans="1:3">
      <c r="A71" s="66">
        <v>3</v>
      </c>
      <c r="B71" s="67" t="s">
        <v>501</v>
      </c>
      <c r="C71" s="67" t="s">
        <v>461</v>
      </c>
    </row>
    <row r="72" ht="16.25" spans="1:3">
      <c r="A72" s="68" t="s">
        <v>462</v>
      </c>
      <c r="B72" s="80" t="s">
        <v>502</v>
      </c>
      <c r="C72" s="74">
        <f>'Custo por trabalhador Servente'!D319</f>
        <v>136.852441</v>
      </c>
    </row>
    <row r="73" ht="16.25" spans="1:3">
      <c r="A73" s="68" t="s">
        <v>464</v>
      </c>
      <c r="B73" s="80" t="s">
        <v>503</v>
      </c>
      <c r="C73" s="74">
        <f>'Custo por trabalhador Servente'!D301</f>
        <v>245.390766666667</v>
      </c>
    </row>
    <row r="74" ht="16.25" spans="1:3">
      <c r="A74" s="68" t="s">
        <v>466</v>
      </c>
      <c r="B74" s="80" t="s">
        <v>504</v>
      </c>
      <c r="C74" s="74">
        <f>'Custo por trabalhador Servente'!D310</f>
        <v>58.7257688888889</v>
      </c>
    </row>
    <row r="75" ht="16.25" spans="1:3">
      <c r="A75" s="68" t="s">
        <v>468</v>
      </c>
      <c r="B75" s="80" t="s">
        <v>505</v>
      </c>
      <c r="C75" s="74">
        <f>'Custo por trabalhador Servente'!D349</f>
        <v>191.488474222222</v>
      </c>
    </row>
    <row r="76" ht="16.25" spans="1:3">
      <c r="A76" s="68" t="s">
        <v>469</v>
      </c>
      <c r="B76" s="80" t="s">
        <v>506</v>
      </c>
      <c r="C76" s="74">
        <f>'Custo por trabalhador Servente'!D331</f>
        <v>289.435093333333</v>
      </c>
    </row>
    <row r="77" ht="16.25" spans="1:3">
      <c r="A77" s="68" t="s">
        <v>488</v>
      </c>
      <c r="B77" s="80" t="s">
        <v>507</v>
      </c>
      <c r="C77" s="74">
        <f>'Custo por trabalhador Servente'!D340</f>
        <v>58.7257688888889</v>
      </c>
    </row>
    <row r="78" ht="16.25" spans="1:3">
      <c r="A78" s="71" t="s">
        <v>155</v>
      </c>
      <c r="B78" s="67"/>
      <c r="C78" s="74">
        <f>'Custo por trabalhador Servente'!E381</f>
        <v>328.340915222222</v>
      </c>
    </row>
    <row r="81" spans="1:3">
      <c r="A81" s="65" t="s">
        <v>508</v>
      </c>
      <c r="B81" s="65"/>
      <c r="C81" s="65"/>
    </row>
    <row r="84" spans="1:3">
      <c r="A84" s="73" t="s">
        <v>509</v>
      </c>
      <c r="B84" s="73"/>
      <c r="C84" s="73"/>
    </row>
    <row r="85" ht="15.75" spans="1:1">
      <c r="A85" s="72"/>
    </row>
    <row r="86" ht="15.75" spans="1:3">
      <c r="A86" s="66" t="s">
        <v>510</v>
      </c>
      <c r="B86" s="67" t="s">
        <v>511</v>
      </c>
      <c r="C86" s="67" t="s">
        <v>461</v>
      </c>
    </row>
    <row r="87" ht="16.25" spans="1:3">
      <c r="A87" s="81" t="s">
        <v>511</v>
      </c>
      <c r="B87" s="82"/>
      <c r="C87" s="74">
        <f>'Custo por trabalhador Servente'!E439</f>
        <v>369.597379435002</v>
      </c>
    </row>
    <row r="88" ht="16.25" spans="1:3">
      <c r="A88" s="71" t="s">
        <v>490</v>
      </c>
      <c r="B88" s="67"/>
      <c r="C88" s="74">
        <f>'Custo por trabalhador Servente'!E439</f>
        <v>369.597379435002</v>
      </c>
    </row>
    <row r="91" spans="1:3">
      <c r="A91" s="73" t="s">
        <v>512</v>
      </c>
      <c r="B91" s="73"/>
      <c r="C91" s="73"/>
    </row>
    <row r="92" ht="15.75" spans="1:1">
      <c r="A92" s="72"/>
    </row>
    <row r="93" ht="15.75" spans="1:3">
      <c r="A93" s="66" t="s">
        <v>513</v>
      </c>
      <c r="B93" s="67" t="s">
        <v>514</v>
      </c>
      <c r="C93" s="67" t="s">
        <v>461</v>
      </c>
    </row>
    <row r="94" ht="16.25" spans="1:3">
      <c r="A94" s="68" t="s">
        <v>462</v>
      </c>
      <c r="B94" s="69" t="s">
        <v>515</v>
      </c>
      <c r="C94" s="78">
        <f>'Custo por trabalhador Servente'!D457</f>
        <v>0</v>
      </c>
    </row>
    <row r="95" ht="16.25" spans="1:3">
      <c r="A95" s="71" t="s">
        <v>155</v>
      </c>
      <c r="B95" s="67"/>
      <c r="C95" s="78">
        <f>'Custo por trabalhador Servente'!D457</f>
        <v>0</v>
      </c>
    </row>
    <row r="98" spans="1:3">
      <c r="A98" s="73" t="s">
        <v>516</v>
      </c>
      <c r="B98" s="73"/>
      <c r="C98" s="73"/>
    </row>
    <row r="99" ht="15.75" spans="1:1">
      <c r="A99" s="72"/>
    </row>
    <row r="100" ht="15.75" spans="1:3">
      <c r="A100" s="66">
        <v>4</v>
      </c>
      <c r="B100" s="67" t="s">
        <v>517</v>
      </c>
      <c r="C100" s="67" t="s">
        <v>461</v>
      </c>
    </row>
    <row r="101" ht="16.25" spans="1:3">
      <c r="A101" s="68" t="s">
        <v>510</v>
      </c>
      <c r="B101" s="69" t="s">
        <v>511</v>
      </c>
      <c r="C101" s="74">
        <f>'Custo por trabalhador Servente'!B465</f>
        <v>369.597379435002</v>
      </c>
    </row>
    <row r="102" ht="16.25" spans="1:3">
      <c r="A102" s="68" t="s">
        <v>513</v>
      </c>
      <c r="B102" s="69" t="s">
        <v>514</v>
      </c>
      <c r="C102" s="78">
        <f>'Custo por trabalhador Servente'!C465</f>
        <v>0</v>
      </c>
    </row>
    <row r="103" ht="16.25" spans="1:3">
      <c r="A103" s="71" t="s">
        <v>155</v>
      </c>
      <c r="B103" s="67"/>
      <c r="C103" s="74">
        <f>'Custo por trabalhador Servente'!D465</f>
        <v>369.597379435002</v>
      </c>
    </row>
    <row r="106" spans="1:3">
      <c r="A106" s="65" t="s">
        <v>518</v>
      </c>
      <c r="B106" s="65"/>
      <c r="C106" s="65"/>
    </row>
    <row r="108" ht="15.75" spans="1:3">
      <c r="A108" s="66">
        <v>5</v>
      </c>
      <c r="B108" s="83" t="s">
        <v>331</v>
      </c>
      <c r="C108" s="67" t="s">
        <v>461</v>
      </c>
    </row>
    <row r="109" ht="16.25" spans="1:3">
      <c r="A109" s="68" t="s">
        <v>462</v>
      </c>
      <c r="B109" s="69" t="s">
        <v>519</v>
      </c>
      <c r="C109" s="70">
        <f>'Custo por trabalhador Servente'!B498</f>
        <v>64.9928333333333</v>
      </c>
    </row>
    <row r="110" ht="16.25" spans="1:3">
      <c r="A110" s="68" t="s">
        <v>464</v>
      </c>
      <c r="B110" s="69" t="s">
        <v>520</v>
      </c>
      <c r="C110" s="70">
        <f>'Custo por trabalhador Servente'!D485</f>
        <v>502.975129758867</v>
      </c>
    </row>
    <row r="111" ht="16.25" spans="1:3">
      <c r="A111" s="68" t="s">
        <v>466</v>
      </c>
      <c r="B111" s="69" t="s">
        <v>521</v>
      </c>
      <c r="C111" s="70">
        <f>0</f>
        <v>0</v>
      </c>
    </row>
    <row r="112" ht="16.25" spans="1:3">
      <c r="A112" s="68" t="s">
        <v>468</v>
      </c>
      <c r="B112" s="69" t="s">
        <v>472</v>
      </c>
      <c r="C112" s="78"/>
    </row>
    <row r="113" ht="16.25" spans="1:3">
      <c r="A113" s="71" t="s">
        <v>490</v>
      </c>
      <c r="B113" s="67"/>
      <c r="C113" s="70">
        <f>'Custo por trabalhador Servente'!D498</f>
        <v>567.9679630922</v>
      </c>
    </row>
    <row r="116" spans="1:3">
      <c r="A116" s="65" t="s">
        <v>522</v>
      </c>
      <c r="B116" s="65"/>
      <c r="C116" s="65"/>
    </row>
    <row r="118" ht="15.75" spans="1:4">
      <c r="A118" s="66">
        <v>6</v>
      </c>
      <c r="B118" s="83" t="s">
        <v>332</v>
      </c>
      <c r="C118" s="67" t="s">
        <v>482</v>
      </c>
      <c r="D118" s="67" t="s">
        <v>461</v>
      </c>
    </row>
    <row r="119" ht="16.25" spans="1:4">
      <c r="A119" s="68" t="s">
        <v>462</v>
      </c>
      <c r="B119" s="69" t="s">
        <v>523</v>
      </c>
      <c r="C119" s="84">
        <v>0.03</v>
      </c>
      <c r="D119" s="70">
        <f>'Custo por trabalhador Servente'!B515*'Planilha de Custo Servente'!C119</f>
        <v>142.173821332483</v>
      </c>
    </row>
    <row r="120" ht="16.25" spans="1:4">
      <c r="A120" s="68" t="s">
        <v>464</v>
      </c>
      <c r="B120" s="69" t="s">
        <v>524</v>
      </c>
      <c r="C120" s="76">
        <v>0.0679</v>
      </c>
      <c r="D120" s="70">
        <f>((C136+'Planilha de Custo Servente'!D119)/(1-0.0679-0.1225))*'Planilha de Custo Servente'!C120</f>
        <v>409.387785841973</v>
      </c>
    </row>
    <row r="121" ht="16.25" spans="1:4">
      <c r="A121" s="68" t="s">
        <v>466</v>
      </c>
      <c r="B121" s="69" t="s">
        <v>315</v>
      </c>
      <c r="C121" s="76">
        <f>'Custo por trabalhador Servente'!B507</f>
        <v>0.1225</v>
      </c>
      <c r="D121" s="70">
        <f>(($C$136+$D$119+$D$120)/(1-0.1225))*C121</f>
        <v>738.58621157057</v>
      </c>
    </row>
    <row r="122" ht="16.25" spans="1:4">
      <c r="A122" s="68"/>
      <c r="B122" s="69" t="s">
        <v>525</v>
      </c>
      <c r="C122" s="76">
        <v>0.0925</v>
      </c>
      <c r="D122" s="70">
        <f>(($C$136+$D$119+$D$120)/(1-0.1225))*C122</f>
        <v>557.707955675737</v>
      </c>
    </row>
    <row r="123" ht="16.25" spans="1:4">
      <c r="A123" s="68"/>
      <c r="B123" s="69" t="s">
        <v>526</v>
      </c>
      <c r="C123" s="78"/>
      <c r="D123" s="70">
        <f>(($C$136+$D$119+$D$120)/(1-0.0865))*C123</f>
        <v>0</v>
      </c>
    </row>
    <row r="124" ht="16.25" spans="1:4">
      <c r="A124" s="68"/>
      <c r="B124" s="69" t="s">
        <v>527</v>
      </c>
      <c r="C124" s="84">
        <v>0.03</v>
      </c>
      <c r="D124" s="70">
        <f>(($C$136+$D$119+$D$120)/(1-0.1225))*C124</f>
        <v>180.878255894833</v>
      </c>
    </row>
    <row r="125" ht="16.25" spans="1:4">
      <c r="A125" s="71" t="s">
        <v>490</v>
      </c>
      <c r="B125" s="67"/>
      <c r="C125" s="78"/>
      <c r="D125" s="70">
        <f>SUM(D119:D121)</f>
        <v>1290.14781874503</v>
      </c>
    </row>
    <row r="128" spans="1:3">
      <c r="A128" s="65" t="s">
        <v>528</v>
      </c>
      <c r="B128" s="65"/>
      <c r="C128" s="65"/>
    </row>
    <row r="130" ht="15.75" spans="1:3">
      <c r="A130" s="66"/>
      <c r="B130" s="67" t="s">
        <v>529</v>
      </c>
      <c r="C130" s="67" t="s">
        <v>461</v>
      </c>
    </row>
    <row r="131" ht="16.25" spans="1:3">
      <c r="A131" s="85" t="s">
        <v>462</v>
      </c>
      <c r="B131" s="69" t="s">
        <v>459</v>
      </c>
      <c r="C131" s="86">
        <f>'Custo por trabalhador Servente'!D533</f>
        <v>1536.43</v>
      </c>
    </row>
    <row r="132" ht="16.25" spans="1:3">
      <c r="A132" s="85" t="s">
        <v>464</v>
      </c>
      <c r="B132" s="69" t="s">
        <v>473</v>
      </c>
      <c r="C132" s="86">
        <f>'Custo por trabalhador Servente'!D534</f>
        <v>1936.79112</v>
      </c>
    </row>
    <row r="133" ht="16.25" spans="1:3">
      <c r="A133" s="85" t="s">
        <v>466</v>
      </c>
      <c r="B133" s="69" t="s">
        <v>500</v>
      </c>
      <c r="C133" s="86">
        <f>'Custo por trabalhador Servente'!D535</f>
        <v>328.340915222222</v>
      </c>
    </row>
    <row r="134" ht="16.25" spans="1:3">
      <c r="A134" s="85" t="s">
        <v>468</v>
      </c>
      <c r="B134" s="69" t="s">
        <v>508</v>
      </c>
      <c r="C134" s="86">
        <f>'Custo por trabalhador Servente'!D536</f>
        <v>369.597379435002</v>
      </c>
    </row>
    <row r="135" ht="16.25" spans="1:3">
      <c r="A135" s="85" t="s">
        <v>469</v>
      </c>
      <c r="B135" s="69" t="s">
        <v>518</v>
      </c>
      <c r="C135" s="86">
        <f>'Custo por trabalhador Servente'!D498</f>
        <v>567.9679630922</v>
      </c>
    </row>
    <row r="136" ht="16.25" spans="1:3">
      <c r="A136" s="71" t="s">
        <v>530</v>
      </c>
      <c r="B136" s="67"/>
      <c r="C136" s="86">
        <f>SUM('Planilha de Custo Servente'!C131:C135)</f>
        <v>4739.12737774942</v>
      </c>
    </row>
    <row r="137" ht="16.25" spans="1:3">
      <c r="A137" s="85" t="s">
        <v>488</v>
      </c>
      <c r="B137" s="69" t="s">
        <v>531</v>
      </c>
      <c r="C137" s="86">
        <f>'Custo por trabalhador Servente'!D538</f>
        <v>1290.14781874503</v>
      </c>
    </row>
    <row r="138" ht="16.25" spans="1:3">
      <c r="A138" s="71" t="s">
        <v>532</v>
      </c>
      <c r="B138" s="67"/>
      <c r="C138" s="86">
        <f>'Custo por trabalhador Servente'!D541</f>
        <v>6029.27519649445</v>
      </c>
    </row>
  </sheetData>
  <mergeCells count="33">
    <mergeCell ref="A1:D1"/>
    <mergeCell ref="A3:D3"/>
    <mergeCell ref="A5:D5"/>
    <mergeCell ref="A6:D6"/>
    <mergeCell ref="A7:D7"/>
    <mergeCell ref="A10:C10"/>
    <mergeCell ref="A20:B20"/>
    <mergeCell ref="A23:C23"/>
    <mergeCell ref="A25:C25"/>
    <mergeCell ref="A30:B30"/>
    <mergeCell ref="A33:D33"/>
    <mergeCell ref="A44:B44"/>
    <mergeCell ref="A47:C47"/>
    <mergeCell ref="A57:B57"/>
    <mergeCell ref="A60:C60"/>
    <mergeCell ref="A66:B66"/>
    <mergeCell ref="A69:C69"/>
    <mergeCell ref="A78:B78"/>
    <mergeCell ref="A81:C81"/>
    <mergeCell ref="A84:C84"/>
    <mergeCell ref="A87:B87"/>
    <mergeCell ref="A88:B88"/>
    <mergeCell ref="A91:C91"/>
    <mergeCell ref="A95:B95"/>
    <mergeCell ref="A98:C98"/>
    <mergeCell ref="A103:B103"/>
    <mergeCell ref="A106:C106"/>
    <mergeCell ref="A113:B113"/>
    <mergeCell ref="A116:C116"/>
    <mergeCell ref="A125:B125"/>
    <mergeCell ref="A128:C128"/>
    <mergeCell ref="A136:B136"/>
    <mergeCell ref="A138:B138"/>
  </mergeCells>
  <pageMargins left="0.511811024" right="0.511811024" top="0.787401575" bottom="0.787401575" header="0.31496062" footer="0.31496062"/>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opLeftCell="A14" workbookViewId="0">
      <selection activeCell="A3" sqref="$A1:$XFD1048576"/>
    </sheetView>
  </sheetViews>
  <sheetFormatPr defaultColWidth="9" defaultRowHeight="14.5" outlineLevelCol="7"/>
  <cols>
    <col min="2" max="2" width="17" customWidth="1"/>
    <col min="6" max="6" width="14.2818181818182" customWidth="1"/>
    <col min="7" max="7" width="16.5727272727273" customWidth="1"/>
    <col min="8" max="8" width="13.5727272727273" customWidth="1"/>
  </cols>
  <sheetData>
    <row r="1" spans="1:8">
      <c r="A1" s="26"/>
      <c r="B1" s="26"/>
      <c r="C1" s="26"/>
      <c r="D1" s="26"/>
      <c r="E1" s="26"/>
      <c r="F1" s="26"/>
      <c r="G1" s="26"/>
      <c r="H1" s="26"/>
    </row>
    <row r="2" ht="28" spans="1:8">
      <c r="A2" s="27" t="s">
        <v>533</v>
      </c>
      <c r="B2" s="27" t="s">
        <v>534</v>
      </c>
      <c r="C2" s="28" t="s">
        <v>535</v>
      </c>
      <c r="D2" s="29"/>
      <c r="E2" s="30"/>
      <c r="F2" s="27" t="s">
        <v>536</v>
      </c>
      <c r="G2" s="27" t="s">
        <v>537</v>
      </c>
      <c r="H2" s="31" t="s">
        <v>538</v>
      </c>
    </row>
    <row r="3" spans="1:8">
      <c r="A3" s="32" t="s">
        <v>539</v>
      </c>
      <c r="B3" s="33" t="s">
        <v>10</v>
      </c>
      <c r="C3" s="34">
        <v>800</v>
      </c>
      <c r="D3" s="35"/>
      <c r="E3" s="36"/>
      <c r="F3" s="37">
        <f>'Custo por trabalhador Servente'!D541</f>
        <v>6029.27519649445</v>
      </c>
      <c r="G3" s="38">
        <f>1/C3</f>
        <v>0.00125</v>
      </c>
      <c r="H3" s="39">
        <f>F3*G3</f>
        <v>7.53659399561806</v>
      </c>
    </row>
    <row r="4" spans="1:8">
      <c r="A4" s="40"/>
      <c r="B4" s="32" t="s">
        <v>11</v>
      </c>
      <c r="C4" s="17">
        <v>800</v>
      </c>
      <c r="D4" s="18"/>
      <c r="E4" s="19"/>
      <c r="F4" s="41">
        <f>'Custo por trabalhador Servente'!D541</f>
        <v>6029.27519649445</v>
      </c>
      <c r="G4" s="20">
        <f>1/C4</f>
        <v>0.00125</v>
      </c>
      <c r="H4" s="42">
        <f>F4*G4</f>
        <v>7.53659399561806</v>
      </c>
    </row>
    <row r="5" spans="1:8">
      <c r="A5" s="40"/>
      <c r="B5" s="32" t="s">
        <v>12</v>
      </c>
      <c r="C5" s="17">
        <v>360</v>
      </c>
      <c r="D5" s="18"/>
      <c r="E5" s="19"/>
      <c r="F5" s="41">
        <f>'Custo por trabalhador Servente'!D541</f>
        <v>6029.27519649445</v>
      </c>
      <c r="G5" s="20">
        <f t="shared" ref="G5:G16" si="0">1/C5</f>
        <v>0.00277777777777778</v>
      </c>
      <c r="H5" s="43">
        <f>(F5*G5)</f>
        <v>16.747986656929</v>
      </c>
    </row>
    <row r="6" ht="28" spans="1:8">
      <c r="A6" s="40"/>
      <c r="B6" s="32" t="s">
        <v>13</v>
      </c>
      <c r="C6" s="44">
        <v>1500</v>
      </c>
      <c r="D6" s="45"/>
      <c r="E6" s="46"/>
      <c r="F6" s="41">
        <f>'Custo por trabalhador Servente'!D541</f>
        <v>6029.27519649445</v>
      </c>
      <c r="G6" s="20">
        <f t="shared" si="0"/>
        <v>0.000666666666666667</v>
      </c>
      <c r="H6" s="42">
        <f>F6*G6</f>
        <v>4.01951679766297</v>
      </c>
    </row>
    <row r="7" spans="1:8">
      <c r="A7" s="40"/>
      <c r="B7" s="33" t="s">
        <v>14</v>
      </c>
      <c r="C7" s="47">
        <v>1200</v>
      </c>
      <c r="D7" s="48"/>
      <c r="E7" s="49"/>
      <c r="F7" s="37">
        <f>'Custo por trabalhador Servente'!D541</f>
        <v>6029.27519649445</v>
      </c>
      <c r="G7" s="38">
        <f t="shared" si="0"/>
        <v>0.000833333333333333</v>
      </c>
      <c r="H7" s="39">
        <f t="shared" ref="H7:H16" si="1">G7*F7</f>
        <v>5.02439599707871</v>
      </c>
    </row>
    <row r="8" ht="43.5" customHeight="1" spans="1:8">
      <c r="A8" s="40"/>
      <c r="B8" s="32" t="s">
        <v>15</v>
      </c>
      <c r="C8" s="44">
        <v>1000</v>
      </c>
      <c r="D8" s="45"/>
      <c r="E8" s="46"/>
      <c r="F8" s="41">
        <f>'Custo por trabalhador Servente'!D541</f>
        <v>6029.27519649445</v>
      </c>
      <c r="G8" s="20">
        <f t="shared" si="0"/>
        <v>0.001</v>
      </c>
      <c r="H8" s="42">
        <f t="shared" si="1"/>
        <v>6.02927519649445</v>
      </c>
    </row>
    <row r="9" spans="1:8">
      <c r="A9" s="40"/>
      <c r="B9" s="32" t="s">
        <v>16</v>
      </c>
      <c r="C9" s="44">
        <v>200</v>
      </c>
      <c r="D9" s="45"/>
      <c r="E9" s="46"/>
      <c r="F9" s="41">
        <f>'Custo por trabalhador Servente'!D541</f>
        <v>6029.27519649445</v>
      </c>
      <c r="G9" s="20">
        <f t="shared" si="0"/>
        <v>0.005</v>
      </c>
      <c r="H9" s="42">
        <f t="shared" si="1"/>
        <v>30.1463759824723</v>
      </c>
    </row>
    <row r="10" ht="42" spans="1:8">
      <c r="A10" s="32" t="s">
        <v>540</v>
      </c>
      <c r="B10" s="50" t="s">
        <v>18</v>
      </c>
      <c r="C10" s="51">
        <v>1800</v>
      </c>
      <c r="D10" s="52"/>
      <c r="E10" s="53"/>
      <c r="F10" s="37">
        <f>'Custo por trabalhador Servente'!D541</f>
        <v>6029.27519649445</v>
      </c>
      <c r="G10" s="54">
        <f t="shared" si="0"/>
        <v>0.000555555555555556</v>
      </c>
      <c r="H10" s="39">
        <f t="shared" si="1"/>
        <v>3.34959733138581</v>
      </c>
    </row>
    <row r="11" ht="42" spans="1:8">
      <c r="A11" s="40"/>
      <c r="B11" s="32" t="s">
        <v>19</v>
      </c>
      <c r="C11" s="44">
        <v>6000</v>
      </c>
      <c r="D11" s="45"/>
      <c r="E11" s="46"/>
      <c r="F11" s="41">
        <f>'Custo por trabalhador Servente'!D541</f>
        <v>6029.27519649445</v>
      </c>
      <c r="G11" s="20">
        <f t="shared" si="0"/>
        <v>0.000166666666666667</v>
      </c>
      <c r="H11" s="42">
        <f t="shared" si="1"/>
        <v>1.00487919941574</v>
      </c>
    </row>
    <row r="12" ht="42" spans="1:8">
      <c r="A12" s="40"/>
      <c r="B12" s="50" t="s">
        <v>20</v>
      </c>
      <c r="C12" s="51">
        <v>1800</v>
      </c>
      <c r="D12" s="52"/>
      <c r="E12" s="53"/>
      <c r="F12" s="37">
        <f>'Custo por trabalhador Servente'!D541</f>
        <v>6029.27519649445</v>
      </c>
      <c r="G12" s="54">
        <f t="shared" si="0"/>
        <v>0.000555555555555556</v>
      </c>
      <c r="H12" s="39">
        <f t="shared" si="1"/>
        <v>3.34959733138581</v>
      </c>
    </row>
    <row r="13" ht="42" spans="1:8">
      <c r="A13" s="40"/>
      <c r="B13" s="33" t="s">
        <v>21</v>
      </c>
      <c r="C13" s="47">
        <v>1800</v>
      </c>
      <c r="D13" s="48"/>
      <c r="E13" s="49"/>
      <c r="F13" s="37">
        <f>'Custo por trabalhador Servente'!D541</f>
        <v>6029.27519649445</v>
      </c>
      <c r="G13" s="54">
        <f t="shared" si="0"/>
        <v>0.000555555555555556</v>
      </c>
      <c r="H13" s="39">
        <f t="shared" si="1"/>
        <v>3.34959733138581</v>
      </c>
    </row>
    <row r="14" ht="42" spans="1:8">
      <c r="A14" s="40"/>
      <c r="B14" s="32" t="s">
        <v>22</v>
      </c>
      <c r="C14" s="44">
        <v>1800</v>
      </c>
      <c r="D14" s="45"/>
      <c r="E14" s="46"/>
      <c r="F14" s="41">
        <f>'Custo por trabalhador Servente'!D541</f>
        <v>6029.27519649445</v>
      </c>
      <c r="G14" s="20">
        <f t="shared" si="0"/>
        <v>0.000555555555555556</v>
      </c>
      <c r="H14" s="42">
        <f t="shared" si="1"/>
        <v>3.34959733138581</v>
      </c>
    </row>
    <row r="15" ht="56" spans="1:8">
      <c r="A15" s="40"/>
      <c r="B15" s="33" t="s">
        <v>23</v>
      </c>
      <c r="C15" s="47">
        <v>100000</v>
      </c>
      <c r="D15" s="48"/>
      <c r="E15" s="49"/>
      <c r="F15" s="37">
        <f>'Custo por trabalhador Servente'!D541</f>
        <v>6029.27519649445</v>
      </c>
      <c r="G15" s="38">
        <f t="shared" si="0"/>
        <v>1e-5</v>
      </c>
      <c r="H15" s="39">
        <f t="shared" si="1"/>
        <v>0.0602927519649445</v>
      </c>
    </row>
    <row r="16" ht="70" spans="1:8">
      <c r="A16" s="50" t="s">
        <v>541</v>
      </c>
      <c r="B16" s="550" t="s">
        <v>61</v>
      </c>
      <c r="C16" s="51">
        <v>360</v>
      </c>
      <c r="D16" s="52"/>
      <c r="E16" s="53"/>
      <c r="F16" s="37">
        <f>'Custo por trabalhador Servente'!D541</f>
        <v>6029.27519649445</v>
      </c>
      <c r="G16" s="38">
        <f t="shared" si="0"/>
        <v>0.00277777777777778</v>
      </c>
      <c r="H16" s="39">
        <f t="shared" si="1"/>
        <v>16.747986656929</v>
      </c>
    </row>
    <row r="17" ht="84" spans="1:8">
      <c r="A17" s="5" t="s">
        <v>533</v>
      </c>
      <c r="B17" s="6" t="s">
        <v>534</v>
      </c>
      <c r="C17" s="5" t="s">
        <v>542</v>
      </c>
      <c r="D17" s="5" t="s">
        <v>543</v>
      </c>
      <c r="E17" s="5" t="s">
        <v>544</v>
      </c>
      <c r="F17" s="5" t="s">
        <v>536</v>
      </c>
      <c r="G17" s="5" t="s">
        <v>545</v>
      </c>
      <c r="H17" s="55" t="s">
        <v>8</v>
      </c>
    </row>
    <row r="18" ht="42" spans="1:8">
      <c r="A18" s="32" t="s">
        <v>546</v>
      </c>
      <c r="B18" s="33" t="s">
        <v>26</v>
      </c>
      <c r="C18" s="56">
        <v>130</v>
      </c>
      <c r="D18" s="56">
        <v>16</v>
      </c>
      <c r="E18" s="56">
        <v>188.76</v>
      </c>
      <c r="F18" s="37">
        <f>'Custo por trabalhador Servente'!D541</f>
        <v>6029.27519649445</v>
      </c>
      <c r="G18" s="38">
        <f>1/C18*D18*1/E18</f>
        <v>0.000652028624056596</v>
      </c>
      <c r="H18" s="57">
        <f>F18*G18</f>
        <v>3.93126001042884</v>
      </c>
    </row>
    <row r="19" ht="42" spans="1:8">
      <c r="A19" s="40"/>
      <c r="B19" s="32" t="s">
        <v>547</v>
      </c>
      <c r="C19" s="58">
        <v>300</v>
      </c>
      <c r="D19" s="58">
        <v>16</v>
      </c>
      <c r="E19" s="58">
        <v>188.76</v>
      </c>
      <c r="F19" s="41">
        <f>'Custo por trabalhador Servente'!D541</f>
        <v>6029.27519649445</v>
      </c>
      <c r="G19" s="20">
        <f>1/C19*D19*1/E19</f>
        <v>0.000282545737091192</v>
      </c>
      <c r="H19" s="42">
        <f>F19*G19</f>
        <v>1.70354600451916</v>
      </c>
    </row>
    <row r="20" spans="1:8">
      <c r="A20" s="40"/>
      <c r="B20" s="32" t="s">
        <v>28</v>
      </c>
      <c r="C20" s="58">
        <v>300</v>
      </c>
      <c r="D20" s="58">
        <v>16</v>
      </c>
      <c r="E20" s="58">
        <v>188.76</v>
      </c>
      <c r="F20" s="41">
        <f>'Custo por trabalhador Servente'!D541</f>
        <v>6029.27519649445</v>
      </c>
      <c r="G20" s="20">
        <f>1/C20*D20*1/E20</f>
        <v>0.000282545737091192</v>
      </c>
      <c r="H20" s="42">
        <f>F20*G20</f>
        <v>1.70354600451916</v>
      </c>
    </row>
    <row r="21" ht="84" customHeight="1" spans="1:8">
      <c r="A21" s="5" t="s">
        <v>533</v>
      </c>
      <c r="B21" s="5" t="s">
        <v>534</v>
      </c>
      <c r="C21" s="5" t="s">
        <v>542</v>
      </c>
      <c r="D21" s="5" t="s">
        <v>548</v>
      </c>
      <c r="E21" s="5" t="s">
        <v>544</v>
      </c>
      <c r="F21" s="5" t="s">
        <v>536</v>
      </c>
      <c r="G21" s="5" t="s">
        <v>545</v>
      </c>
      <c r="H21" s="55" t="s">
        <v>8</v>
      </c>
    </row>
    <row r="22" ht="56" spans="1:8">
      <c r="A22" s="59" t="s">
        <v>549</v>
      </c>
      <c r="B22" s="551" t="s">
        <v>61</v>
      </c>
      <c r="C22" s="54">
        <v>130</v>
      </c>
      <c r="D22" s="54">
        <v>8</v>
      </c>
      <c r="E22" s="54">
        <v>1132.6</v>
      </c>
      <c r="F22" s="37">
        <f>'Custo por trabalhador Servente'!D541</f>
        <v>6029.27519649445</v>
      </c>
      <c r="G22" s="54">
        <v>5.433e-5</v>
      </c>
      <c r="H22" s="60">
        <f>G22*F22</f>
        <v>0.327570521425543</v>
      </c>
    </row>
  </sheetData>
  <mergeCells count="18">
    <mergeCell ref="C2:E2"/>
    <mergeCell ref="C3:E3"/>
    <mergeCell ref="C4:E4"/>
    <mergeCell ref="C5:E5"/>
    <mergeCell ref="C6:E6"/>
    <mergeCell ref="C7:E7"/>
    <mergeCell ref="C8:E8"/>
    <mergeCell ref="C9:E9"/>
    <mergeCell ref="C10:E10"/>
    <mergeCell ref="C11:E11"/>
    <mergeCell ref="C12:E12"/>
    <mergeCell ref="C13:E13"/>
    <mergeCell ref="C14:E14"/>
    <mergeCell ref="C15:E15"/>
    <mergeCell ref="C16:E16"/>
    <mergeCell ref="A3:A9"/>
    <mergeCell ref="A10:A15"/>
    <mergeCell ref="A18:A20"/>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
  <sheetViews>
    <sheetView zoomScale="70" zoomScaleNormal="70" topLeftCell="A13" workbookViewId="0">
      <selection activeCell="W13" sqref="W13"/>
    </sheetView>
  </sheetViews>
  <sheetFormatPr defaultColWidth="9" defaultRowHeight="14.5"/>
  <cols>
    <col min="2" max="2" width="23.8545454545455" style="1" customWidth="1"/>
    <col min="5" max="5" width="8" customWidth="1"/>
    <col min="6" max="6" width="16.8545454545455" customWidth="1"/>
    <col min="7" max="7" width="16" customWidth="1"/>
    <col min="8" max="8" width="16.2818181818182" customWidth="1"/>
    <col min="12" max="12" width="16.4272727272727" style="1" customWidth="1"/>
    <col min="16" max="16" width="12.2818181818182" customWidth="1"/>
    <col min="17" max="17" width="15.1363636363636" customWidth="1"/>
    <col min="18" max="18" width="14.2818181818182" customWidth="1"/>
  </cols>
  <sheetData>
    <row r="1" spans="1:18">
      <c r="A1" s="2"/>
      <c r="B1" s="3"/>
      <c r="C1" s="2"/>
      <c r="D1" s="2"/>
      <c r="E1" s="2"/>
      <c r="F1" s="2"/>
      <c r="G1" s="2"/>
      <c r="H1" s="2"/>
      <c r="I1" s="2"/>
      <c r="J1" s="2"/>
      <c r="K1" s="2"/>
      <c r="L1" s="3"/>
      <c r="M1" s="2"/>
      <c r="N1" s="2"/>
      <c r="O1" s="2"/>
      <c r="P1" s="2"/>
      <c r="Q1" s="2"/>
      <c r="R1" s="2"/>
    </row>
    <row r="2" ht="15.25" spans="1:18">
      <c r="A2" s="4" t="s">
        <v>550</v>
      </c>
      <c r="B2" s="4"/>
      <c r="C2" s="4"/>
      <c r="D2" s="4"/>
      <c r="E2" s="4"/>
      <c r="F2" s="4"/>
      <c r="G2" s="4"/>
      <c r="H2" s="4"/>
      <c r="I2" s="2"/>
      <c r="J2" s="2"/>
      <c r="K2" s="4" t="s">
        <v>551</v>
      </c>
      <c r="L2" s="4"/>
      <c r="M2" s="4"/>
      <c r="N2" s="4"/>
      <c r="O2" s="4"/>
      <c r="P2" s="4"/>
      <c r="Q2" s="4"/>
      <c r="R2" s="4"/>
    </row>
    <row r="3" ht="15.25" spans="1:18">
      <c r="A3" s="2"/>
      <c r="B3" s="3"/>
      <c r="C3" s="2"/>
      <c r="D3" s="2"/>
      <c r="E3" s="2"/>
      <c r="F3" s="2"/>
      <c r="G3" s="2"/>
      <c r="H3" s="2"/>
      <c r="I3" s="2"/>
      <c r="J3" s="2"/>
      <c r="K3" s="2"/>
      <c r="L3" s="3"/>
      <c r="M3" s="2"/>
      <c r="N3" s="2"/>
      <c r="O3" s="2"/>
      <c r="P3" s="2"/>
      <c r="Q3" s="2"/>
      <c r="R3" s="2"/>
    </row>
    <row r="4" s="1" customFormat="1" ht="30.75" customHeight="1" spans="1:18">
      <c r="A4" s="5" t="s">
        <v>533</v>
      </c>
      <c r="B4" s="5" t="s">
        <v>534</v>
      </c>
      <c r="C4" s="6" t="s">
        <v>535</v>
      </c>
      <c r="D4" s="7"/>
      <c r="E4" s="8"/>
      <c r="F4" s="5" t="s">
        <v>537</v>
      </c>
      <c r="G4" s="5" t="s">
        <v>552</v>
      </c>
      <c r="H4" s="5" t="s">
        <v>553</v>
      </c>
      <c r="I4" s="3"/>
      <c r="J4" s="3"/>
      <c r="K4" s="5" t="s">
        <v>533</v>
      </c>
      <c r="L4" s="5" t="s">
        <v>534</v>
      </c>
      <c r="M4" s="6" t="s">
        <v>554</v>
      </c>
      <c r="N4" s="7"/>
      <c r="O4" s="8"/>
      <c r="P4" s="5" t="s">
        <v>537</v>
      </c>
      <c r="Q4" s="5" t="s">
        <v>552</v>
      </c>
      <c r="R4" s="5" t="s">
        <v>553</v>
      </c>
    </row>
    <row r="5" spans="1:18">
      <c r="A5" s="9" t="s">
        <v>539</v>
      </c>
      <c r="B5" s="10" t="s">
        <v>10</v>
      </c>
      <c r="C5" s="11">
        <v>800</v>
      </c>
      <c r="D5" s="12"/>
      <c r="E5" s="13"/>
      <c r="F5" s="14">
        <v>0.00125</v>
      </c>
      <c r="G5" s="14">
        <v>0</v>
      </c>
      <c r="H5" s="14">
        <v>0</v>
      </c>
      <c r="I5" s="2"/>
      <c r="J5" s="2"/>
      <c r="K5" s="9" t="s">
        <v>539</v>
      </c>
      <c r="L5" s="10" t="s">
        <v>10</v>
      </c>
      <c r="M5" s="11">
        <v>1200</v>
      </c>
      <c r="N5" s="12"/>
      <c r="O5" s="13"/>
      <c r="P5" s="14">
        <v>0.00083333</v>
      </c>
      <c r="Q5" s="14">
        <v>0</v>
      </c>
      <c r="R5" s="14">
        <v>0</v>
      </c>
    </row>
    <row r="6" spans="1:18">
      <c r="A6" s="15"/>
      <c r="B6" s="16" t="s">
        <v>11</v>
      </c>
      <c r="C6" s="17">
        <v>800</v>
      </c>
      <c r="D6" s="18"/>
      <c r="E6" s="19"/>
      <c r="F6" s="20">
        <v>0.00125</v>
      </c>
      <c r="G6" s="20">
        <v>6216</v>
      </c>
      <c r="H6" s="20">
        <v>7.77</v>
      </c>
      <c r="I6" s="2"/>
      <c r="J6" s="2"/>
      <c r="K6" s="15"/>
      <c r="L6" s="16" t="s">
        <v>11</v>
      </c>
      <c r="M6" s="17">
        <v>1200</v>
      </c>
      <c r="N6" s="18"/>
      <c r="O6" s="19"/>
      <c r="P6" s="20">
        <v>0.00083333</v>
      </c>
      <c r="Q6" s="20">
        <v>6216</v>
      </c>
      <c r="R6" s="20">
        <v>5.18</v>
      </c>
    </row>
    <row r="7" spans="1:18">
      <c r="A7" s="15"/>
      <c r="B7" s="16" t="s">
        <v>12</v>
      </c>
      <c r="C7" s="17">
        <v>360</v>
      </c>
      <c r="D7" s="18"/>
      <c r="E7" s="19"/>
      <c r="F7" s="20">
        <v>0.00277778</v>
      </c>
      <c r="G7" s="20">
        <v>1895</v>
      </c>
      <c r="H7" s="20">
        <v>5.264</v>
      </c>
      <c r="I7" s="2"/>
      <c r="J7" s="2"/>
      <c r="K7" s="15"/>
      <c r="L7" s="16" t="s">
        <v>12</v>
      </c>
      <c r="M7" s="17">
        <v>450</v>
      </c>
      <c r="N7" s="18"/>
      <c r="O7" s="19"/>
      <c r="P7" s="20">
        <v>0.00222222</v>
      </c>
      <c r="Q7" s="20">
        <v>1895</v>
      </c>
      <c r="R7" s="20">
        <v>4.211</v>
      </c>
    </row>
    <row r="8" ht="28" spans="1:18">
      <c r="A8" s="15"/>
      <c r="B8" s="16" t="s">
        <v>13</v>
      </c>
      <c r="C8" s="17">
        <v>1500</v>
      </c>
      <c r="D8" s="18"/>
      <c r="E8" s="19"/>
      <c r="F8" s="20">
        <v>0.00066667</v>
      </c>
      <c r="G8" s="20">
        <v>160</v>
      </c>
      <c r="H8" s="20">
        <v>0.107</v>
      </c>
      <c r="I8" s="2"/>
      <c r="J8" s="2"/>
      <c r="K8" s="15"/>
      <c r="L8" s="16" t="s">
        <v>13</v>
      </c>
      <c r="M8" s="17">
        <v>2500</v>
      </c>
      <c r="N8" s="18"/>
      <c r="O8" s="19"/>
      <c r="P8" s="20">
        <v>0.0004</v>
      </c>
      <c r="Q8" s="20">
        <v>160</v>
      </c>
      <c r="R8" s="20">
        <v>0.064</v>
      </c>
    </row>
    <row r="9" spans="1:18">
      <c r="A9" s="15"/>
      <c r="B9" s="10" t="s">
        <v>14</v>
      </c>
      <c r="C9" s="11">
        <v>1200</v>
      </c>
      <c r="D9" s="12"/>
      <c r="E9" s="13"/>
      <c r="F9" s="14">
        <v>0.00083333</v>
      </c>
      <c r="G9" s="14">
        <v>0</v>
      </c>
      <c r="H9" s="14">
        <v>0</v>
      </c>
      <c r="I9" s="2"/>
      <c r="J9" s="2"/>
      <c r="K9" s="15"/>
      <c r="L9" s="10" t="s">
        <v>14</v>
      </c>
      <c r="M9" s="11">
        <v>1800</v>
      </c>
      <c r="N9" s="12"/>
      <c r="O9" s="13"/>
      <c r="P9" s="14">
        <v>0.00055556</v>
      </c>
      <c r="Q9" s="14">
        <v>0</v>
      </c>
      <c r="R9" s="14">
        <v>0</v>
      </c>
    </row>
    <row r="10" ht="42" spans="1:18">
      <c r="A10" s="15"/>
      <c r="B10" s="16" t="s">
        <v>15</v>
      </c>
      <c r="C10" s="17">
        <v>1000</v>
      </c>
      <c r="D10" s="18"/>
      <c r="E10" s="19"/>
      <c r="F10" s="20">
        <v>0.001</v>
      </c>
      <c r="G10" s="20">
        <v>427</v>
      </c>
      <c r="H10" s="20">
        <v>0.427</v>
      </c>
      <c r="I10" s="2"/>
      <c r="J10" s="2"/>
      <c r="K10" s="15"/>
      <c r="L10" s="16" t="s">
        <v>15</v>
      </c>
      <c r="M10" s="17">
        <v>1500</v>
      </c>
      <c r="N10" s="18"/>
      <c r="O10" s="19"/>
      <c r="P10" s="20">
        <v>0.00066667</v>
      </c>
      <c r="Q10" s="20">
        <v>427</v>
      </c>
      <c r="R10" s="20">
        <v>0.285</v>
      </c>
    </row>
    <row r="11" spans="1:18">
      <c r="A11" s="21"/>
      <c r="B11" s="16" t="s">
        <v>16</v>
      </c>
      <c r="C11" s="17">
        <v>200</v>
      </c>
      <c r="D11" s="18"/>
      <c r="E11" s="19"/>
      <c r="F11" s="20">
        <v>0.005</v>
      </c>
      <c r="G11" s="20">
        <v>684</v>
      </c>
      <c r="H11" s="20">
        <v>3.42</v>
      </c>
      <c r="I11" s="2"/>
      <c r="J11" s="2"/>
      <c r="K11" s="21"/>
      <c r="L11" s="16" t="s">
        <v>16</v>
      </c>
      <c r="M11" s="17">
        <v>300</v>
      </c>
      <c r="N11" s="18"/>
      <c r="O11" s="19"/>
      <c r="P11" s="20">
        <v>0.00333333</v>
      </c>
      <c r="Q11" s="20">
        <v>684</v>
      </c>
      <c r="R11" s="20">
        <v>2.28</v>
      </c>
    </row>
    <row r="12" ht="56" spans="1:18">
      <c r="A12" s="9" t="s">
        <v>540</v>
      </c>
      <c r="B12" s="10" t="s">
        <v>18</v>
      </c>
      <c r="C12" s="11">
        <v>1800</v>
      </c>
      <c r="D12" s="12"/>
      <c r="E12" s="13"/>
      <c r="F12" s="14">
        <v>0.00055556</v>
      </c>
      <c r="G12" s="14">
        <v>0</v>
      </c>
      <c r="H12" s="14">
        <v>0</v>
      </c>
      <c r="I12" s="2"/>
      <c r="J12" s="2"/>
      <c r="K12" s="9" t="s">
        <v>540</v>
      </c>
      <c r="L12" s="10" t="s">
        <v>18</v>
      </c>
      <c r="M12" s="11">
        <v>2700</v>
      </c>
      <c r="N12" s="12"/>
      <c r="O12" s="13"/>
      <c r="P12" s="14">
        <v>0.00037037</v>
      </c>
      <c r="Q12" s="14">
        <v>0</v>
      </c>
      <c r="R12" s="14">
        <v>0</v>
      </c>
    </row>
    <row r="13" ht="42" spans="1:18">
      <c r="A13" s="15"/>
      <c r="B13" s="16" t="s">
        <v>19</v>
      </c>
      <c r="C13" s="17">
        <v>6000</v>
      </c>
      <c r="D13" s="18"/>
      <c r="E13" s="19"/>
      <c r="F13" s="20">
        <v>0.00016667</v>
      </c>
      <c r="G13" s="20">
        <v>695</v>
      </c>
      <c r="H13" s="20">
        <v>0.116</v>
      </c>
      <c r="I13" s="2"/>
      <c r="J13" s="2"/>
      <c r="K13" s="15"/>
      <c r="L13" s="16" t="s">
        <v>19</v>
      </c>
      <c r="M13" s="17">
        <v>9000</v>
      </c>
      <c r="N13" s="18"/>
      <c r="O13" s="19"/>
      <c r="P13" s="20">
        <v>0.00011111</v>
      </c>
      <c r="Q13" s="20">
        <v>695</v>
      </c>
      <c r="R13" s="20">
        <v>0.077</v>
      </c>
    </row>
    <row r="14" ht="42" spans="1:18">
      <c r="A14" s="15"/>
      <c r="B14" s="10" t="s">
        <v>20</v>
      </c>
      <c r="C14" s="11">
        <v>1800</v>
      </c>
      <c r="D14" s="12"/>
      <c r="E14" s="13"/>
      <c r="F14" s="14">
        <v>0.00055556</v>
      </c>
      <c r="G14" s="14">
        <v>0</v>
      </c>
      <c r="H14" s="14">
        <v>0</v>
      </c>
      <c r="I14" s="2"/>
      <c r="J14" s="2"/>
      <c r="K14" s="15"/>
      <c r="L14" s="10" t="s">
        <v>20</v>
      </c>
      <c r="M14" s="11">
        <v>2700</v>
      </c>
      <c r="N14" s="12"/>
      <c r="O14" s="13"/>
      <c r="P14" s="14">
        <v>0.00037037</v>
      </c>
      <c r="Q14" s="14">
        <v>0</v>
      </c>
      <c r="R14" s="14">
        <v>0</v>
      </c>
    </row>
    <row r="15" ht="42" spans="1:18">
      <c r="A15" s="15"/>
      <c r="B15" s="10" t="s">
        <v>21</v>
      </c>
      <c r="C15" s="11">
        <v>1800</v>
      </c>
      <c r="D15" s="12"/>
      <c r="E15" s="13"/>
      <c r="F15" s="14">
        <v>0.00055556</v>
      </c>
      <c r="G15" s="14">
        <v>0</v>
      </c>
      <c r="H15" s="14">
        <v>0</v>
      </c>
      <c r="I15" s="2"/>
      <c r="J15" s="2"/>
      <c r="K15" s="15"/>
      <c r="L15" s="10" t="s">
        <v>21</v>
      </c>
      <c r="M15" s="11">
        <v>2700</v>
      </c>
      <c r="N15" s="12"/>
      <c r="O15" s="13"/>
      <c r="P15" s="14">
        <v>0.00037037</v>
      </c>
      <c r="Q15" s="14">
        <v>0</v>
      </c>
      <c r="R15" s="14">
        <v>0</v>
      </c>
    </row>
    <row r="16" ht="42" spans="1:18">
      <c r="A16" s="15"/>
      <c r="B16" s="16" t="s">
        <v>22</v>
      </c>
      <c r="C16" s="17">
        <v>1800</v>
      </c>
      <c r="D16" s="18"/>
      <c r="E16" s="19"/>
      <c r="F16" s="20">
        <v>0.00055556</v>
      </c>
      <c r="G16" s="20">
        <v>1630</v>
      </c>
      <c r="H16" s="20">
        <v>0.906</v>
      </c>
      <c r="I16" s="2"/>
      <c r="J16" s="2"/>
      <c r="K16" s="15"/>
      <c r="L16" s="16" t="s">
        <v>22</v>
      </c>
      <c r="M16" s="17">
        <v>2700</v>
      </c>
      <c r="N16" s="18"/>
      <c r="O16" s="19"/>
      <c r="P16" s="20">
        <v>0.00037037</v>
      </c>
      <c r="Q16" s="20">
        <v>1630</v>
      </c>
      <c r="R16" s="20">
        <v>0.604</v>
      </c>
    </row>
    <row r="17" ht="56" spans="1:18">
      <c r="A17" s="21"/>
      <c r="B17" s="10" t="s">
        <v>23</v>
      </c>
      <c r="C17" s="11">
        <v>100000</v>
      </c>
      <c r="D17" s="12"/>
      <c r="E17" s="13"/>
      <c r="F17" s="14">
        <v>1e-5</v>
      </c>
      <c r="G17" s="14">
        <v>0</v>
      </c>
      <c r="H17" s="14">
        <v>0</v>
      </c>
      <c r="I17" s="2"/>
      <c r="J17" s="2"/>
      <c r="K17" s="21"/>
      <c r="L17" s="10" t="s">
        <v>23</v>
      </c>
      <c r="M17" s="11">
        <v>100000</v>
      </c>
      <c r="N17" s="12"/>
      <c r="O17" s="13"/>
      <c r="P17" s="14">
        <v>1e-5</v>
      </c>
      <c r="Q17" s="14">
        <v>0</v>
      </c>
      <c r="R17" s="14">
        <v>0</v>
      </c>
    </row>
    <row r="18" ht="70" spans="1:18">
      <c r="A18" s="10" t="s">
        <v>555</v>
      </c>
      <c r="B18" s="552" t="s">
        <v>61</v>
      </c>
      <c r="C18" s="11">
        <v>360</v>
      </c>
      <c r="D18" s="12"/>
      <c r="E18" s="13"/>
      <c r="F18" s="14">
        <v>0.00277778</v>
      </c>
      <c r="G18" s="14">
        <v>0</v>
      </c>
      <c r="H18" s="14">
        <v>0</v>
      </c>
      <c r="I18" s="2"/>
      <c r="J18" s="2"/>
      <c r="K18" s="10" t="s">
        <v>555</v>
      </c>
      <c r="L18" s="552" t="s">
        <v>61</v>
      </c>
      <c r="M18" s="11">
        <v>450</v>
      </c>
      <c r="N18" s="12"/>
      <c r="O18" s="13"/>
      <c r="P18" s="14">
        <v>0.00222222</v>
      </c>
      <c r="Q18" s="14">
        <v>0</v>
      </c>
      <c r="R18" s="14">
        <v>0</v>
      </c>
    </row>
    <row r="19" ht="84" spans="1:18">
      <c r="A19" s="5" t="s">
        <v>533</v>
      </c>
      <c r="B19" s="5" t="s">
        <v>534</v>
      </c>
      <c r="C19" s="5" t="s">
        <v>542</v>
      </c>
      <c r="D19" s="5" t="s">
        <v>543</v>
      </c>
      <c r="E19" s="5" t="s">
        <v>544</v>
      </c>
      <c r="F19" s="5" t="s">
        <v>556</v>
      </c>
      <c r="G19" s="5" t="s">
        <v>552</v>
      </c>
      <c r="H19" s="5" t="s">
        <v>557</v>
      </c>
      <c r="I19" s="2"/>
      <c r="J19" s="2"/>
      <c r="K19" s="5" t="s">
        <v>533</v>
      </c>
      <c r="L19" s="5" t="s">
        <v>534</v>
      </c>
      <c r="M19" s="5" t="s">
        <v>558</v>
      </c>
      <c r="N19" s="5" t="s">
        <v>543</v>
      </c>
      <c r="O19" s="5" t="s">
        <v>544</v>
      </c>
      <c r="P19" s="5" t="s">
        <v>556</v>
      </c>
      <c r="Q19" s="5" t="s">
        <v>552</v>
      </c>
      <c r="R19" s="5" t="s">
        <v>557</v>
      </c>
    </row>
    <row r="20" ht="42" spans="1:18">
      <c r="A20" s="9" t="s">
        <v>559</v>
      </c>
      <c r="B20" s="10" t="s">
        <v>26</v>
      </c>
      <c r="C20" s="14">
        <v>130</v>
      </c>
      <c r="D20" s="14">
        <v>16</v>
      </c>
      <c r="E20" s="14">
        <v>188.76</v>
      </c>
      <c r="F20" s="14">
        <v>0.00065203</v>
      </c>
      <c r="G20" s="14">
        <v>0</v>
      </c>
      <c r="H20" s="14">
        <v>0</v>
      </c>
      <c r="I20" s="2"/>
      <c r="J20" s="2"/>
      <c r="K20" s="9" t="s">
        <v>559</v>
      </c>
      <c r="L20" s="10" t="s">
        <v>26</v>
      </c>
      <c r="M20" s="14">
        <v>160</v>
      </c>
      <c r="N20" s="14">
        <v>16</v>
      </c>
      <c r="O20" s="14">
        <v>188.76</v>
      </c>
      <c r="P20" s="14">
        <v>0.00052977</v>
      </c>
      <c r="Q20" s="14">
        <v>0</v>
      </c>
      <c r="R20" s="14">
        <v>0</v>
      </c>
    </row>
    <row r="21" ht="42" spans="1:18">
      <c r="A21" s="15"/>
      <c r="B21" s="16" t="s">
        <v>547</v>
      </c>
      <c r="C21" s="20">
        <v>300</v>
      </c>
      <c r="D21" s="20">
        <v>16</v>
      </c>
      <c r="E21" s="20">
        <v>188.76</v>
      </c>
      <c r="F21" s="20">
        <v>0.00028255</v>
      </c>
      <c r="G21" s="20">
        <v>318.56</v>
      </c>
      <c r="H21" s="20">
        <v>0.09</v>
      </c>
      <c r="I21" s="2"/>
      <c r="J21" s="2"/>
      <c r="K21" s="15"/>
      <c r="L21" s="16" t="s">
        <v>27</v>
      </c>
      <c r="M21" s="20">
        <v>380</v>
      </c>
      <c r="N21" s="20">
        <v>16</v>
      </c>
      <c r="O21" s="20">
        <v>188.76</v>
      </c>
      <c r="P21" s="20">
        <v>0.00022306</v>
      </c>
      <c r="Q21" s="20">
        <v>318.56</v>
      </c>
      <c r="R21" s="20">
        <v>0.071</v>
      </c>
    </row>
    <row r="22" spans="1:18">
      <c r="A22" s="21"/>
      <c r="B22" s="16" t="s">
        <v>28</v>
      </c>
      <c r="C22" s="20">
        <v>300</v>
      </c>
      <c r="D22" s="20">
        <v>16</v>
      </c>
      <c r="E22" s="20">
        <v>188.76</v>
      </c>
      <c r="F22" s="20">
        <v>0.00028255</v>
      </c>
      <c r="G22" s="20">
        <v>318.56</v>
      </c>
      <c r="H22" s="20">
        <v>0.09</v>
      </c>
      <c r="I22" s="2"/>
      <c r="J22" s="2"/>
      <c r="K22" s="21"/>
      <c r="L22" s="16" t="s">
        <v>28</v>
      </c>
      <c r="M22" s="20">
        <v>380</v>
      </c>
      <c r="N22" s="20">
        <v>16</v>
      </c>
      <c r="O22" s="20">
        <v>188.76</v>
      </c>
      <c r="P22" s="20">
        <v>0.00022306</v>
      </c>
      <c r="Q22" s="20">
        <v>318.56</v>
      </c>
      <c r="R22" s="20">
        <v>0.071</v>
      </c>
    </row>
    <row r="23" ht="84" spans="1:18">
      <c r="A23" s="5" t="s">
        <v>533</v>
      </c>
      <c r="B23" s="5" t="s">
        <v>534</v>
      </c>
      <c r="C23" s="5" t="s">
        <v>542</v>
      </c>
      <c r="D23" s="5" t="s">
        <v>548</v>
      </c>
      <c r="E23" s="5" t="s">
        <v>544</v>
      </c>
      <c r="F23" s="5" t="s">
        <v>556</v>
      </c>
      <c r="G23" s="5" t="s">
        <v>552</v>
      </c>
      <c r="H23" s="5" t="s">
        <v>557</v>
      </c>
      <c r="I23" s="2"/>
      <c r="J23" s="2"/>
      <c r="K23" s="5" t="s">
        <v>533</v>
      </c>
      <c r="L23" s="5" t="s">
        <v>534</v>
      </c>
      <c r="M23" s="5" t="s">
        <v>558</v>
      </c>
      <c r="N23" s="5" t="s">
        <v>548</v>
      </c>
      <c r="O23" s="5" t="s">
        <v>544</v>
      </c>
      <c r="P23" s="5" t="s">
        <v>556</v>
      </c>
      <c r="Q23" s="5" t="s">
        <v>552</v>
      </c>
      <c r="R23" s="5" t="s">
        <v>557</v>
      </c>
    </row>
    <row r="24" ht="56" spans="1:18">
      <c r="A24" s="10" t="s">
        <v>560</v>
      </c>
      <c r="B24" s="552" t="s">
        <v>61</v>
      </c>
      <c r="C24" s="14">
        <v>130</v>
      </c>
      <c r="D24" s="14">
        <v>8</v>
      </c>
      <c r="E24" s="14">
        <v>1132.6</v>
      </c>
      <c r="F24" s="14">
        <v>5.433e-5</v>
      </c>
      <c r="G24" s="14">
        <v>0</v>
      </c>
      <c r="H24" s="14">
        <v>0</v>
      </c>
      <c r="I24" s="2"/>
      <c r="J24" s="2"/>
      <c r="K24" s="10" t="s">
        <v>560</v>
      </c>
      <c r="L24" s="552" t="s">
        <v>61</v>
      </c>
      <c r="M24" s="14">
        <v>160</v>
      </c>
      <c r="N24" s="14">
        <v>8</v>
      </c>
      <c r="O24" s="14">
        <v>1132.6</v>
      </c>
      <c r="P24" s="14">
        <v>4.415e-5</v>
      </c>
      <c r="Q24" s="14">
        <v>0</v>
      </c>
      <c r="R24" s="14">
        <v>0</v>
      </c>
    </row>
    <row r="25" spans="1:18">
      <c r="A25" s="22" t="s">
        <v>561</v>
      </c>
      <c r="B25" s="23"/>
      <c r="C25" s="23"/>
      <c r="D25" s="23"/>
      <c r="E25" s="23"/>
      <c r="F25" s="23"/>
      <c r="G25" s="24"/>
      <c r="H25" s="25">
        <v>18.189</v>
      </c>
      <c r="I25" s="2"/>
      <c r="J25" s="2"/>
      <c r="K25" s="22" t="s">
        <v>561</v>
      </c>
      <c r="L25" s="23"/>
      <c r="M25" s="23"/>
      <c r="N25" s="23"/>
      <c r="O25" s="23"/>
      <c r="P25" s="23"/>
      <c r="Q25" s="24"/>
      <c r="R25" s="25">
        <v>12.843</v>
      </c>
    </row>
  </sheetData>
  <mergeCells count="40">
    <mergeCell ref="A2:H2"/>
    <mergeCell ref="K2:R2"/>
    <mergeCell ref="C4:E4"/>
    <mergeCell ref="M4:O4"/>
    <mergeCell ref="C5:E5"/>
    <mergeCell ref="M5:O5"/>
    <mergeCell ref="C6:E6"/>
    <mergeCell ref="M6:O6"/>
    <mergeCell ref="C7:E7"/>
    <mergeCell ref="M7:O7"/>
    <mergeCell ref="C8:E8"/>
    <mergeCell ref="M8:O8"/>
    <mergeCell ref="C9:E9"/>
    <mergeCell ref="M9:O9"/>
    <mergeCell ref="C10:E10"/>
    <mergeCell ref="M10:O10"/>
    <mergeCell ref="C11:E11"/>
    <mergeCell ref="M11:O11"/>
    <mergeCell ref="C12:E12"/>
    <mergeCell ref="M12:O12"/>
    <mergeCell ref="C13:E13"/>
    <mergeCell ref="M13:O13"/>
    <mergeCell ref="C14:E14"/>
    <mergeCell ref="M14:O14"/>
    <mergeCell ref="C15:E15"/>
    <mergeCell ref="M15:O15"/>
    <mergeCell ref="C16:E16"/>
    <mergeCell ref="M16:O16"/>
    <mergeCell ref="C17:E17"/>
    <mergeCell ref="M17:O17"/>
    <mergeCell ref="C18:E18"/>
    <mergeCell ref="M18:O18"/>
    <mergeCell ref="A25:G25"/>
    <mergeCell ref="K25:Q25"/>
    <mergeCell ref="A5:A11"/>
    <mergeCell ref="A12:A17"/>
    <mergeCell ref="A20:A22"/>
    <mergeCell ref="K5:K11"/>
    <mergeCell ref="K12:K17"/>
    <mergeCell ref="K20:K22"/>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8</vt:i4>
      </vt:variant>
    </vt:vector>
  </HeadingPairs>
  <TitlesOfParts>
    <vt:vector size="8" baseType="lpstr">
      <vt:lpstr>Planilha Resumo</vt:lpstr>
      <vt:lpstr>Planilha Resumo Valor</vt:lpstr>
      <vt:lpstr>M²</vt:lpstr>
      <vt:lpstr>Custo por trabalhador Servente</vt:lpstr>
      <vt:lpstr>Material Proposta</vt:lpstr>
      <vt:lpstr>Planilha de Custo Servente</vt:lpstr>
      <vt:lpstr>Preço m²</vt:lpstr>
      <vt:lpstr>Quantitativos e Produtividade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thaly</cp:lastModifiedBy>
  <dcterms:created xsi:type="dcterms:W3CDTF">2018-01-23T19:35:00Z</dcterms:created>
  <dcterms:modified xsi:type="dcterms:W3CDTF">2025-05-02T14:18:21Z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F4469912F73E4B2FA04FDF56ABEF240C_13</vt:lpwstr>
  </property>
  <property fmtid="{D5CDD505-2E9C-101B-9397-08002B2CF9AE}" pid="3" name="KSOProductBuildVer">
    <vt:lpwstr>1046-12.2.0.20795</vt:lpwstr>
  </property>
</Properties>
</file>